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P:\200495 - Arnold Ventures CMS’s Innovation Center\Phase 1 CMMI\deliverables\"/>
    </mc:Choice>
  </mc:AlternateContent>
  <xr:revisionPtr revIDLastSave="0" documentId="13_ncr:1_{32519FD6-CF94-4E91-A1B4-A77D86E8D437}" xr6:coauthVersionLast="45" xr6:coauthVersionMax="47" xr10:uidLastSave="{00000000-0000-0000-0000-000000000000}"/>
  <bookViews>
    <workbookView xWindow="-120" yWindow="-120" windowWidth="29040" windowHeight="15840" tabRatio="596" activeTab="1" xr2:uid="{D0EEF43F-81C7-444E-B0E5-827A99A98C48}"/>
  </bookViews>
  <sheets>
    <sheet name="Read me" sheetId="19" r:id="rId1"/>
    <sheet name="Model Data" sheetId="1" r:id="rId2"/>
    <sheet name="HCIA" sheetId="11" state="hidden" r:id="rId3"/>
    <sheet name="Category list" sheetId="2" state="hidden" r:id="rId4"/>
    <sheet name="HCIA Category List" sheetId="12" state="hidden" r:id="rId5"/>
    <sheet name="HCIA2 Category List" sheetId="13" state="hidden" r:id="rId6"/>
    <sheet name="Status list" sheetId="3" state="hidden" r:id="rId7"/>
    <sheet name="Urban-rural" sheetId="14" state="hidden" r:id="rId8"/>
    <sheet name="Regional" sheetId="8" state="hidden" r:id="rId9"/>
    <sheet name="Scope of services" sheetId="15" state="hidden" r:id="rId10"/>
    <sheet name="Other payers" sheetId="18" state="hidden" r:id="rId11"/>
    <sheet name="AAPM" sheetId="16" state="hidden" r:id="rId12"/>
    <sheet name="Latest evaluation list" sheetId="4" state="hidden" r:id="rId13"/>
    <sheet name="Eval costs" sheetId="6" state="hidden" r:id="rId14"/>
    <sheet name="Eval quality" sheetId="7" state="hidden" r:id="rId15"/>
  </sheets>
  <definedNames>
    <definedName name="_xlnm._FilterDatabase" localSheetId="1" hidden="1">'Model Data'!$A$1:$AE$173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14" i="1" l="1"/>
  <c r="J3" i="1" l="1"/>
  <c r="J5" i="1" l="1"/>
  <c r="J12" i="1" l="1"/>
  <c r="AB14" i="1" l="1"/>
  <c r="J10" i="1"/>
  <c r="J22" i="1"/>
  <c r="J16" i="1"/>
  <c r="J31" i="1"/>
  <c r="J4" i="1"/>
  <c r="J11" i="1"/>
  <c r="J2" i="1"/>
  <c r="J21" i="1"/>
  <c r="J13" i="1"/>
  <c r="J25" i="1"/>
  <c r="J20" i="1"/>
  <c r="J19" i="1"/>
  <c r="J15" i="1"/>
  <c r="J24" i="1"/>
  <c r="J8" i="1"/>
  <c r="J27" i="1"/>
  <c r="J29" i="1"/>
  <c r="J6" i="1" l="1"/>
  <c r="J7" i="1"/>
  <c r="J9" i="1"/>
  <c r="J17" i="1"/>
  <c r="J18" i="1"/>
  <c r="J23" i="1"/>
  <c r="J26" i="1"/>
  <c r="J28" i="1"/>
  <c r="J30" i="1"/>
  <c r="J33" i="1"/>
  <c r="AD54" i="1" l="1"/>
  <c r="AB97" i="1" l="1"/>
  <c r="AD93" i="1"/>
  <c r="AC58" i="1"/>
  <c r="AD58" i="1"/>
  <c r="AC57" i="1"/>
  <c r="AD57" i="1"/>
  <c r="AE75" i="1"/>
  <c r="AE55" i="1"/>
  <c r="AE65" i="1"/>
  <c r="AE69" i="1"/>
  <c r="AE85" i="1"/>
  <c r="AE86" i="1"/>
  <c r="AE102" i="1"/>
  <c r="AE110" i="1"/>
  <c r="AE115" i="1"/>
  <c r="AE126" i="1"/>
  <c r="AE162" i="1"/>
  <c r="AC30" i="1"/>
  <c r="AE5" i="1"/>
  <c r="AB109" i="1" l="1"/>
  <c r="AD95" i="1"/>
  <c r="AC95" i="1"/>
  <c r="AC96" i="1"/>
  <c r="AE170" i="1" l="1"/>
  <c r="AE7" i="1" l="1"/>
  <c r="AE108" i="1"/>
  <c r="AB18" i="1"/>
  <c r="AE18" i="1"/>
  <c r="AE28" i="1"/>
  <c r="AE30" i="1" l="1"/>
  <c r="AE6" i="1"/>
  <c r="AD17" i="1" l="1"/>
  <c r="AE34"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tc={2906B4C3-7740-4C90-B8E0-0879D9ADD4F9}</author>
  </authors>
  <commentList>
    <comment ref="A8" authorId="0" shapeId="0" xr:uid="{2906B4C3-7740-4C90-B8E0-0879D9ADD4F9}">
      <text>
        <t>[Threaded comment]
Your version of Excel allows you to read this threaded comment; however, any edits to it will get removed if the file is opened in a newer version of Excel. Learn more: https://go.microsoft.com/fwlink/?linkid=870924
Comment:
    lets use this category for now, later we should see if we can make everything fit into one of the categories above</t>
      </text>
    </comment>
  </commentList>
</comments>
</file>

<file path=xl/sharedStrings.xml><?xml version="1.0" encoding="utf-8"?>
<sst xmlns="http://schemas.openxmlformats.org/spreadsheetml/2006/main" count="4407" uniqueCount="1049">
  <si>
    <t>Center for Medicare and Medicaid Innovation (CMMI) -- Innovation Center Model Overview</t>
  </si>
  <si>
    <t>Prepared by Health Management Associates (HMA)</t>
  </si>
  <si>
    <t>Information included in this tracker are based on Innovation Center demonstration summaries, CMS Reports to Congress, model evaluations, and legislative changes as of May 11, 2021.</t>
  </si>
  <si>
    <t>This data tracker summarizes HMA's review of Innovation Center demonstrations.</t>
  </si>
  <si>
    <t>Column headings and definitions:</t>
  </si>
  <si>
    <r>
      <t xml:space="preserve">Model name: </t>
    </r>
    <r>
      <rPr>
        <sz val="11"/>
        <color theme="1"/>
        <rFont val="Calibri"/>
        <family val="2"/>
        <scheme val="minor"/>
      </rPr>
      <t>Name of the demonstration</t>
    </r>
    <r>
      <rPr>
        <b/>
        <sz val="11"/>
        <color theme="1"/>
        <rFont val="Calibri"/>
        <family val="2"/>
        <scheme val="minor"/>
      </rPr>
      <t>.</t>
    </r>
  </si>
  <si>
    <r>
      <t>Category:</t>
    </r>
    <r>
      <rPr>
        <sz val="11"/>
        <color theme="1"/>
        <rFont val="Calibri"/>
        <family val="2"/>
        <scheme val="minor"/>
      </rPr>
      <t xml:space="preserve"> CMMI classification of models (accountable care, episode-based payment initiatives, primary care transformation, intiatives focused on the Medicaid and Children's Health Insurance Program population, initiatives focused on the Medicare-Medicaid enrollees, initiatives to accelerate the development and testing of new payment and service delivery models, and initiatives to speed the adoption of best practices)</t>
    </r>
    <r>
      <rPr>
        <b/>
        <sz val="11"/>
        <color theme="1"/>
        <rFont val="Calibri"/>
        <family val="2"/>
        <scheme val="minor"/>
      </rPr>
      <t>.</t>
    </r>
  </si>
  <si>
    <r>
      <t xml:space="preserve">HCIA &amp; SIM: </t>
    </r>
    <r>
      <rPr>
        <sz val="11"/>
        <color theme="1"/>
        <rFont val="Calibri"/>
        <family val="2"/>
        <scheme val="minor"/>
      </rPr>
      <t>Health Care Innovation Awards (HCIA) and State Innovation Models (SIM) are umbrella categories for multiple individual models. HCIA included two rounds of models (Round 1 and Round 2).</t>
    </r>
  </si>
  <si>
    <r>
      <t xml:space="preserve">HCIA category: </t>
    </r>
    <r>
      <rPr>
        <sz val="11"/>
        <color theme="1"/>
        <rFont val="Calibri"/>
        <family val="2"/>
        <scheme val="minor"/>
      </rPr>
      <t>Classification of HCIA Round 1 models (behavioral health and substance abuse, community resource planning and prevention, complex high-risk patient targeting, disease specific, hospital setting, primary care redesign, shared decision making, medication management, meta-analysis and evaluators collaborative, and state-based initiatives).</t>
    </r>
  </si>
  <si>
    <r>
      <t xml:space="preserve">HCIA2 category: </t>
    </r>
    <r>
      <rPr>
        <sz val="11"/>
        <color theme="1"/>
        <rFont val="Calibri"/>
        <family val="2"/>
        <scheme val="minor"/>
      </rPr>
      <t>Classification of HCIA Round 2 models (youth with complex medical conditions, high-risk chronic conditions, low-risk chroic conditions, behavioral health and cognitive disorders, acute and subacute care, and primary and preventive care).</t>
    </r>
  </si>
  <si>
    <r>
      <t xml:space="preserve">Status as of May 2021: </t>
    </r>
    <r>
      <rPr>
        <sz val="11"/>
        <color theme="1"/>
        <rFont val="Calibri"/>
        <family val="2"/>
        <scheme val="minor"/>
      </rPr>
      <t xml:space="preserve"> CMMI classification of model operation status (under development, announced, accepted applications, reviewing applications, participants announced, ongoing, no longer active)</t>
    </r>
    <r>
      <rPr>
        <b/>
        <sz val="11"/>
        <color theme="1"/>
        <rFont val="Calibri"/>
        <family val="2"/>
        <scheme val="minor"/>
      </rPr>
      <t>.</t>
    </r>
  </si>
  <si>
    <r>
      <t xml:space="preserve">Announcement date: </t>
    </r>
    <r>
      <rPr>
        <sz val="11"/>
        <color theme="1"/>
        <rFont val="Calibri"/>
        <family val="2"/>
        <scheme val="minor"/>
      </rPr>
      <t>Date of model announcement.</t>
    </r>
  </si>
  <si>
    <r>
      <t xml:space="preserve">Performance period start: </t>
    </r>
    <r>
      <rPr>
        <sz val="11"/>
        <color theme="1"/>
        <rFont val="Calibri"/>
        <family val="2"/>
        <scheme val="minor"/>
      </rPr>
      <t>Date of model beginning.</t>
    </r>
  </si>
  <si>
    <r>
      <t xml:space="preserve">Performance period end: </t>
    </r>
    <r>
      <rPr>
        <sz val="11"/>
        <color theme="1"/>
        <rFont val="Calibri"/>
        <family val="2"/>
        <scheme val="minor"/>
      </rPr>
      <t>Date of model ending.</t>
    </r>
  </si>
  <si>
    <r>
      <t>Total performance period:</t>
    </r>
    <r>
      <rPr>
        <sz val="11"/>
        <color theme="1"/>
        <rFont val="Calibri"/>
        <family val="2"/>
        <scheme val="minor"/>
      </rPr>
      <t xml:space="preserve"> Cumulative years of model operation.</t>
    </r>
  </si>
  <si>
    <r>
      <t xml:space="preserve">Model extended?: </t>
    </r>
    <r>
      <rPr>
        <sz val="11"/>
        <color theme="1"/>
        <rFont val="Calibri"/>
        <family val="2"/>
        <scheme val="minor"/>
      </rPr>
      <t>HMA categorized models that were granted extensions beyond the initial performance period end date and models that were delayed beyond their original performance start date due to the COVID-19 emergency.</t>
    </r>
  </si>
  <si>
    <r>
      <t xml:space="preserve">Eligible for expansion to Medicare?: </t>
    </r>
    <r>
      <rPr>
        <sz val="11"/>
        <color theme="1"/>
        <rFont val="Calibri"/>
        <family val="2"/>
        <scheme val="minor"/>
      </rPr>
      <t>HMA categorized models that were expanded through action by the Secretary of Health and Human Services (HHS) or Congressional legislation.</t>
    </r>
  </si>
  <si>
    <r>
      <t xml:space="preserve">Voluntary vs. mandatory: </t>
    </r>
    <r>
      <rPr>
        <sz val="11"/>
        <color theme="1"/>
        <rFont val="Calibri"/>
        <family val="2"/>
        <scheme val="minor"/>
      </rPr>
      <t>CMMI requires participation from targeted providers/participants for some models (mandatory) and encourages participants to apply for other models (voluntary).</t>
    </r>
  </si>
  <si>
    <r>
      <t>Participants</t>
    </r>
    <r>
      <rPr>
        <sz val="11"/>
        <color theme="1"/>
        <rFont val="Calibri"/>
        <family val="2"/>
        <scheme val="minor"/>
      </rPr>
      <t>: The population served by the model.</t>
    </r>
  </si>
  <si>
    <r>
      <t xml:space="preserve">Urban/rural scope: </t>
    </r>
    <r>
      <rPr>
        <sz val="11"/>
        <color theme="1"/>
        <rFont val="Calibri"/>
        <family val="2"/>
        <scheme val="minor"/>
      </rPr>
      <t xml:space="preserve">Areas of high and low population densities where models operate. </t>
    </r>
  </si>
  <si>
    <r>
      <t xml:space="preserve">Regional scope: </t>
    </r>
    <r>
      <rPr>
        <sz val="11"/>
        <color theme="1"/>
        <rFont val="Calibri"/>
        <family val="2"/>
        <scheme val="minor"/>
      </rPr>
      <t>List of states involved in each model.</t>
    </r>
  </si>
  <si>
    <r>
      <t xml:space="preserve">Regional scope short: </t>
    </r>
    <r>
      <rPr>
        <sz val="11"/>
        <color theme="1"/>
        <rFont val="Calibri"/>
        <family val="2"/>
        <scheme val="minor"/>
      </rPr>
      <t xml:space="preserve">Number/range of states applied to each model. HMA created this category to assist with data analysis. </t>
    </r>
  </si>
  <si>
    <r>
      <t xml:space="preserve">Scope of services: </t>
    </r>
    <r>
      <rPr>
        <sz val="11"/>
        <color theme="1"/>
        <rFont val="Calibri"/>
        <family val="2"/>
        <scheme val="minor"/>
      </rPr>
      <t>HMA categorized models based on service category by payer. Service categories include Medicare Part A, Part B, Part C, and/or Part  as well as Medicare and Medicaid services.</t>
    </r>
  </si>
  <si>
    <r>
      <t xml:space="preserve">Other payers: </t>
    </r>
    <r>
      <rPr>
        <sz val="11"/>
        <color theme="1"/>
        <rFont val="Calibri"/>
        <family val="2"/>
        <scheme val="minor"/>
      </rPr>
      <t>Models that are paid by programs in addition to Medicare, including all payer, Medicaid, CHIP, and commercial payers.</t>
    </r>
  </si>
  <si>
    <r>
      <t xml:space="preserve">Qualifies as AAPM?: </t>
    </r>
    <r>
      <rPr>
        <sz val="11"/>
        <color theme="1"/>
        <rFont val="Calibri"/>
        <family val="2"/>
        <scheme val="minor"/>
      </rPr>
      <t>HMA categorized models based on whether they qualify as an Advanced Alternative Payment Model (A-APM)</t>
    </r>
    <r>
      <rPr>
        <b/>
        <sz val="11"/>
        <color theme="1"/>
        <rFont val="Calibri"/>
        <family val="2"/>
        <scheme val="minor"/>
      </rPr>
      <t>.</t>
    </r>
  </si>
  <si>
    <r>
      <t xml:space="preserve">Risk: </t>
    </r>
    <r>
      <rPr>
        <sz val="11"/>
        <color theme="1"/>
        <rFont val="Calibri"/>
        <family val="2"/>
        <scheme val="minor"/>
      </rPr>
      <t xml:space="preserve">HMA categorized models based on the degree of risk that participants take on. </t>
    </r>
  </si>
  <si>
    <r>
      <t xml:space="preserve">Short Description: </t>
    </r>
    <r>
      <rPr>
        <sz val="11"/>
        <color theme="1"/>
        <rFont val="Calibri"/>
        <family val="2"/>
        <scheme val="minor"/>
      </rPr>
      <t>Overview of the model's services and goals.</t>
    </r>
  </si>
  <si>
    <r>
      <t xml:space="preserve">Latest evaluation: </t>
    </r>
    <r>
      <rPr>
        <sz val="11"/>
        <color theme="1"/>
        <rFont val="Calibri"/>
        <family val="2"/>
        <scheme val="minor"/>
      </rPr>
      <t>Most recent  model evaluation published by CMMI. HMA added a category to document when models do not have an available evaluation.</t>
    </r>
  </si>
  <si>
    <r>
      <t xml:space="preserve">Evaluation findings spending: </t>
    </r>
    <r>
      <rPr>
        <sz val="11"/>
        <color theme="1"/>
        <rFont val="Calibri"/>
        <family val="2"/>
        <scheme val="minor"/>
      </rPr>
      <t xml:space="preserve">Model effects on spending as reflected in CMMI evaluations. </t>
    </r>
  </si>
  <si>
    <r>
      <t xml:space="preserve">Evaluation findings quality: </t>
    </r>
    <r>
      <rPr>
        <sz val="11"/>
        <color theme="1"/>
        <rFont val="Calibri"/>
        <family val="2"/>
        <scheme val="minor"/>
      </rPr>
      <t>Model effects on quality of care and health outcomes as reflected in CMMI evaluations.</t>
    </r>
  </si>
  <si>
    <r>
      <t xml:space="preserve">Evaluation spending short: </t>
    </r>
    <r>
      <rPr>
        <sz val="11"/>
        <color theme="1"/>
        <rFont val="Calibri"/>
        <family val="2"/>
        <scheme val="minor"/>
      </rPr>
      <t>Short descriptions of model effects on spending created by HMA to assist with data analysis.</t>
    </r>
  </si>
  <si>
    <r>
      <t xml:space="preserve">Evaluation quality short: </t>
    </r>
    <r>
      <rPr>
        <sz val="11"/>
        <color theme="1"/>
        <rFont val="Calibri"/>
        <family val="2"/>
        <scheme val="minor"/>
      </rPr>
      <t>Short descriptions of model effects on quality of care and health outcomes created by HMA to assist with data analysis.</t>
    </r>
  </si>
  <si>
    <r>
      <t xml:space="preserve">Participating sites: </t>
    </r>
    <r>
      <rPr>
        <sz val="11"/>
        <color theme="1"/>
        <rFont val="Calibri"/>
        <family val="2"/>
        <scheme val="minor"/>
      </rPr>
      <t>Number of sites involved in the model.</t>
    </r>
  </si>
  <si>
    <r>
      <t xml:space="preserve">Enrolled providers: </t>
    </r>
    <r>
      <rPr>
        <sz val="11"/>
        <color theme="1"/>
        <rFont val="Calibri"/>
        <family val="2"/>
        <scheme val="minor"/>
      </rPr>
      <t>Number of providers rendering services as part of the model.</t>
    </r>
  </si>
  <si>
    <r>
      <t xml:space="preserve">Estimated enrolled/attributed beneficiaries: </t>
    </r>
    <r>
      <rPr>
        <sz val="11"/>
        <color theme="1"/>
        <rFont val="Calibri"/>
        <family val="2"/>
        <scheme val="minor"/>
      </rPr>
      <t>Approximate number of beneficiaries served by the model.</t>
    </r>
  </si>
  <si>
    <t xml:space="preserve">This model data tracker includes filter functions. For each column heading, click on the arrow to display the drop-down list of available cell values. </t>
  </si>
  <si>
    <t>Model name</t>
  </si>
  <si>
    <t>Category</t>
  </si>
  <si>
    <t>HCIA &amp; SIM</t>
  </si>
  <si>
    <t xml:space="preserve">HCIA Category </t>
  </si>
  <si>
    <t>HCIA2 Category</t>
  </si>
  <si>
    <t>Status as of May 11 2021</t>
  </si>
  <si>
    <t>Announcement date</t>
  </si>
  <si>
    <t>Model extended?</t>
  </si>
  <si>
    <t>"Eligible for expansion" to Medicare</t>
  </si>
  <si>
    <t>Voluntary vs. mandatory</t>
  </si>
  <si>
    <t>Participants</t>
  </si>
  <si>
    <t>Urban/rural scope</t>
  </si>
  <si>
    <t>Regional scope</t>
  </si>
  <si>
    <t>Regional scope short</t>
  </si>
  <si>
    <t>Scope of services</t>
  </si>
  <si>
    <t>Other payers</t>
  </si>
  <si>
    <t>Qualifies as AAPM?</t>
  </si>
  <si>
    <t>Risk</t>
  </si>
  <si>
    <t>Short description</t>
  </si>
  <si>
    <t xml:space="preserve">Latest evaluation </t>
  </si>
  <si>
    <t>Evaluation findings spending</t>
  </si>
  <si>
    <t>Eval spend short</t>
  </si>
  <si>
    <t>Evaluation findings quality</t>
  </si>
  <si>
    <t>Eval quality short</t>
  </si>
  <si>
    <t>Participating sites</t>
  </si>
  <si>
    <t>Enrolled providers</t>
  </si>
  <si>
    <t>Estimated enrolled/ attributed beneficiaries</t>
  </si>
  <si>
    <t>Estimated total payments 2010-2018</t>
  </si>
  <si>
    <t>A home visitation program for rural populations in Northern Dona Ana County, New Mexico</t>
  </si>
  <si>
    <t>New payment &amp; service delivery models</t>
  </si>
  <si>
    <t>HCIA</t>
  </si>
  <si>
    <t>Community Resource Planning and Prevention</t>
  </si>
  <si>
    <t>NA</t>
  </si>
  <si>
    <t>No longer active</t>
  </si>
  <si>
    <t>No</t>
  </si>
  <si>
    <t>Voluntary</t>
  </si>
  <si>
    <t>FQHCs</t>
  </si>
  <si>
    <t>Rural</t>
  </si>
  <si>
    <t>New Mexico</t>
  </si>
  <si>
    <t>1 state</t>
  </si>
  <si>
    <t>Just Part B</t>
  </si>
  <si>
    <t>Medicare &amp; Medicaid</t>
  </si>
  <si>
    <t>no</t>
  </si>
  <si>
    <t>Not applicable</t>
  </si>
  <si>
    <t>The Ben Archer Health Center FQHC received a grant to implement a program focused on preventive care services and intensive case management.</t>
  </si>
  <si>
    <t>Third year</t>
  </si>
  <si>
    <t>Increase in spending, implication of decreased spending in the long-run as participants improve their preventive care and chronic conditions management. Findings not statistically significant.</t>
  </si>
  <si>
    <t>No or minimal impact</t>
  </si>
  <si>
    <t>Higher rates of inpatient stays, lower ED visits, improved trends in chronic condition control.</t>
  </si>
  <si>
    <t>Mixed</t>
  </si>
  <si>
    <t>A rapid cycle approach to improving medication adherence through incentives and remote monitoring for coronary artery disease patients</t>
  </si>
  <si>
    <t>Medication Management</t>
  </si>
  <si>
    <t>Not readily available</t>
  </si>
  <si>
    <t xml:space="preserve">Urban </t>
  </si>
  <si>
    <t>Delaware, New Jersey, New York, Pennsylvania</t>
  </si>
  <si>
    <t>2 to 10 states</t>
  </si>
  <si>
    <t>Parts A &amp; B</t>
  </si>
  <si>
    <t>Medicare, Medicaid, commercial payers</t>
  </si>
  <si>
    <t xml:space="preserve">The HeartStrong program aimed to improve patient adherence to cardioprotective medication in the year after acute myocardial infarction (AMI) through a simple, low-resource innovation consisting of automated and person-based reminders, financial incentives, and follow up from HeartStrong staff members who helped to address any adherence issues. HeartStrong was a discrete, proof-of-concept study, the program has demonstrated its scalability on a national level, successfully expanding the program to 45 states. </t>
  </si>
  <si>
    <t xml:space="preserve">Due to data limitations and the inclusion of non-Medicare participants in the analysis, Acumen was precluded from evaluating expenditure outcomes related to Medicare-specific settings </t>
  </si>
  <si>
    <t>not associated with any statistically significant changes in in-hospital mortality and inpatient readmissions; not associated with statistically significant decreases in total ER visits, inpatient admissions or hospital days across the year after program
enrollment</t>
  </si>
  <si>
    <t>Access to Critical Cerebral Emergency Support Services (ACCESS)</t>
  </si>
  <si>
    <t>HCIA 2</t>
  </si>
  <si>
    <t>Acute and subacute care</t>
  </si>
  <si>
    <t>Ongoing</t>
  </si>
  <si>
    <t>Yes</t>
  </si>
  <si>
    <t>Hospital ED</t>
  </si>
  <si>
    <t>mixed</t>
  </si>
  <si>
    <t>Medicare, Medicaid, CHIP</t>
  </si>
  <si>
    <t>The awardee implemented the ACCESS program to facilitate telehealth consultations for patients who presented at a participating hospital’s ED with a neuro-emergent condition.</t>
  </si>
  <si>
    <t>Final</t>
  </si>
  <si>
    <t>The analysis cannot be used to make inferences about the impact of this program on Medicare costs or other program outcomes.</t>
  </si>
  <si>
    <t>UNM partly succeeded in implementing the ACCESS program to support effective diagnosis and treatment of ED patients with neuro-emergent conditions at rural hospitals in New Mexico.  It was not possible  to select an equivalent comparison group to conduct a rigorous impact evaluation .</t>
  </si>
  <si>
    <t>Accountable Health Communities</t>
  </si>
  <si>
    <t>Community-based organizations, health care practices, hospitals and health
systems, and local governmental entities (Bridge Organizations)</t>
  </si>
  <si>
    <t>AZ, CO, CT, GA, HI, IL, IN, KY, MD, MI, MN, NJ, NM, NY, OH, OK, OR, PA, TX, VA, WV</t>
  </si>
  <si>
    <t>21 to 30 states</t>
  </si>
  <si>
    <t xml:space="preserve">Other </t>
  </si>
  <si>
    <t>Over a five year period, the model will provide support to community bridge organizations to test promising service delivery approaches aimed at linking beneficiaries with community services that may address their health-related social needs (i.e., housing instability, food insecurity, utility needs, interpersonal violence, and transportation needs):</t>
  </si>
  <si>
    <t>First year</t>
  </si>
  <si>
    <t>No savings or impacts in the first year</t>
  </si>
  <si>
    <t>Minimal reduction in ED visits, most participants lost to followup or status unknown</t>
  </si>
  <si>
    <t xml:space="preserve">ACO Investment </t>
  </si>
  <si>
    <t>Accountable care</t>
  </si>
  <si>
    <t>Mandatory</t>
  </si>
  <si>
    <t xml:space="preserve">Shared Savings Program ACOs </t>
  </si>
  <si>
    <t>38 states across 4 regions</t>
  </si>
  <si>
    <t>31 to 40 states</t>
  </si>
  <si>
    <t>Parts A, B &amp; D</t>
  </si>
  <si>
    <t>AIM was for organizations participating as ACOs in the Medicare Shared Savings Program. It was developed to encourage new ACOs to form in rural and underserved areas and current Shared Savings Program ACOS to transition to arrangements with greater financial risk. AIM ACOs received up-front payments for two years, which can be recouped from shared savings earned by AIM ACOs for up to six years.</t>
  </si>
  <si>
    <t>AIM ACOs were successful in reducing total Medicare spending and related utilization without decreasing the quality of care they
provided. AIM generated net savings to Medicare during each of the three performance years.</t>
  </si>
  <si>
    <t>Decreased costs</t>
  </si>
  <si>
    <t>AIM ACOs maintained quality of care</t>
  </si>
  <si>
    <t>Advance Payment ACO</t>
  </si>
  <si>
    <t>Physician-based organizations participating in the Shared Savings Program</t>
  </si>
  <si>
    <t>nationwide, mostly eastern US</t>
  </si>
  <si>
    <t>Nationwide</t>
  </si>
  <si>
    <t>AAPM</t>
  </si>
  <si>
    <t>Advance payment funds were intended to improve care delivery. There were three types of payment: upfront fixed, upfront variable, and monthly variable dependent on ACO size</t>
  </si>
  <si>
    <t>Minimal impact</t>
  </si>
  <si>
    <t>Advanced Illness Management (AIM)</t>
  </si>
  <si>
    <t xml:space="preserve">Complex High-Risk Patient Targeting </t>
  </si>
  <si>
    <t>Hospital, home health, providers, triage</t>
  </si>
  <si>
    <t>California</t>
  </si>
  <si>
    <t>AIM serves patients who have severe chronic illness and are high-level consumers of health care, but cannot enter hospice care. This program uses a complex medical home model with nurse-led interdisciplinary teams for care coordination and delivery.</t>
  </si>
  <si>
    <t>Decrease in cost of care in the last 30 days of life</t>
  </si>
  <si>
    <t>Decrease in hospitalizations in the last 30 days of life. Increase in ED visits in the last 30 days of life. Enrollees report high satisfaction with the program. Caregivers report lower stress related to caregiving as a result of AIM.</t>
  </si>
  <si>
    <t>Artificial Intelligence (AI)  Health Outcomes Challenge</t>
  </si>
  <si>
    <t>Yes, per Congress due to COVID</t>
  </si>
  <si>
    <t>Various AI innovators</t>
  </si>
  <si>
    <t>The CMS Artificial Intelligence (AI) Health Outcomes Challenge is an opportunity for innovators to demonstrate how AI tools – such as deep learning and neural networks – can be used to predict unplanned hospital and skilled nursing facility admissions and adverse events.
Partnering with the American Academy of Family Physicians and Arnold Ventures, the CMS AI Health Outcomes Challenge will engage with innovators from all sectors – not just from healthcare – to harness AI solutions to predict health outcomes for potential use in CMS Innovation Center innovative payment and service delivery models.</t>
  </si>
  <si>
    <t>Not available</t>
  </si>
  <si>
    <t>Avera Virtual Care Center: Improving Care &amp; Reducing Costs for the Vulnerable Elderly Population</t>
  </si>
  <si>
    <t xml:space="preserve">Nursing Facilities </t>
  </si>
  <si>
    <t>South Dakota, Minnesota, Iowa, Nebraska</t>
  </si>
  <si>
    <t>Avera’s eLTC program sought to help residents in NFs gain access to timely, residentcentered care, particularly in rural areas that were geographically isolated from PCPs and geriatricians, and thus reduce the number of unnecessary transfers to EDs and hospitals.</t>
  </si>
  <si>
    <t>Statistically significant estimates showed reduced Medicare spending and ED service use, but only among the long-term care beneficiary subgroup.</t>
  </si>
  <si>
    <t xml:space="preserve">For long-term care residents, the program appears to have led to an estimated decrease in outpatient ED or observation visits and the probability of any hospitalization, both of which were statistically significant. The decrease hospitaly stays and decrease in PC and Specialty care were not statistically significant </t>
  </si>
  <si>
    <t>Better Back Care: A Comprehensive Strategy for Improving Function and Outcomes While Reducing Overutilization and Costs</t>
  </si>
  <si>
    <t>Primary and preventive care</t>
  </si>
  <si>
    <t>Clinical Sites</t>
  </si>
  <si>
    <t>North Carolina</t>
  </si>
  <si>
    <t>The program aimed to encourage conservative, evidence-based treatments such as avoiding bed rest, managing pain, exercise, physical therapy, and education for patients with acute, nonspecific LBP and reduce unnecessary spinal imaging, injections, and surgery.</t>
  </si>
  <si>
    <t>Due to problems, the evaluation cannot make inferences about impacts of this program on Medicare expenditures or service use.</t>
  </si>
  <si>
    <t>A rigorous impact evaluation of the BBC program was not possible</t>
  </si>
  <si>
    <t>Better health through coordinated care: a plan for southeast Alaska</t>
  </si>
  <si>
    <t>Primary Care Redesign</t>
  </si>
  <si>
    <t xml:space="preserve">Hospital, clinics associated with the medical center </t>
  </si>
  <si>
    <t>Alaska</t>
  </si>
  <si>
    <t>Parts A, B &amp; C</t>
  </si>
  <si>
    <t>All payer</t>
  </si>
  <si>
    <t>PeaceHealth received a three-year, $3.2 million award to implement the Better Health Through Coordinated Care—A Plan for Southeast Alaska program (hereafter referred to as the coordinated care program). PeaceHealth’s goals were to reduce 30-day hospital readmission rates for patients with congestive heart failure (CHF) by 20 percent, emergency department (ED) costs for patients with chronic conditions by 75 percent, and total costs for patients with chronic conditions by 15 percent</t>
  </si>
  <si>
    <t xml:space="preserve">Unable to draw conclusions on program impacts in spending domains </t>
  </si>
  <si>
    <t>The evidence indicates that PeaceHealth’s program improved quality-of-care processes—particularly implementing the process-of-care guidelines for patients with diabetes, However, unable to draw conclusions on program impacts in the quality-of-care outcomes.</t>
  </si>
  <si>
    <t>Bridging the Divide</t>
  </si>
  <si>
    <t>Disease Specific</t>
  </si>
  <si>
    <t>Hospitals</t>
  </si>
  <si>
    <t>Delaware</t>
  </si>
  <si>
    <t xml:space="preserve">The Christiana Care Health System's Bridging the Divide (Bridges) program's goal was to enhance care for patients following coronary revascularization or hospitalization for AMI through care at transition and longitudinal care management followign the discharge. The care management involved proactive monitoring and notification of heatlh events and IT-enabled patient self-monitoring and management. </t>
  </si>
  <si>
    <t>Second year</t>
  </si>
  <si>
    <t>No decreases in cost of care</t>
  </si>
  <si>
    <t xml:space="preserve">In the short term, there are limitations to reducing ED visits for target population. Improvement in post-discharge follow-up. </t>
  </si>
  <si>
    <t>Quality improved</t>
  </si>
  <si>
    <t>Brookdale Senior Living (BSL) Transitions of Care Program</t>
  </si>
  <si>
    <t>SNFs, assisted living/memory care, IL residences, home health</t>
  </si>
  <si>
    <t>Colorado, Florida, Kansas, Texas</t>
  </si>
  <si>
    <t>Just Part A</t>
  </si>
  <si>
    <t>The University of North Texas Science Center partnered with Brookdale Senior Living to develop and test the Brookdale Senior Living Transitions of Care Program. The goal of the program is to prevent the progress of disease, thereby reducing complications, improving care, and reducing avoidable hospital admissions. The program will train over 10,000 workers, including care transition nurses.</t>
  </si>
  <si>
    <t>Decrease in total SNF 30-day cost
of care (-$449 per beneficiaryepisode per quarter)
Decrease in total assisted living/memory care (AL/MC) cost of
care (-$1,095 per beneficiary per
quarter) Decrease in AL/MC total cost of care in the last 30 days of life (-$861 per beneficiary per quarter)
and last 90 days of life (-$2,122 per
beneficiary per quarter)</t>
  </si>
  <si>
    <t xml:space="preserve">Decrease in assisted living/memory care (AL/MC) hospitalizations
(-26 per 1,000 beneficiaries per
quarter) and 30-day readmissions
(-336 per 1,000 beneficiaries per
quarter)
Decrease in AL/MC ambulatory
care-sensitive hospitalizations (-6
per 1,000 beneficiaries per quarter) </t>
  </si>
  <si>
    <t>Brooklyn Care Coordination Consortium</t>
  </si>
  <si>
    <t xml:space="preserve">Behavioral Health &amp; Substance Abuse </t>
  </si>
  <si>
    <t>Medical centers, mental health providers, community services</t>
  </si>
  <si>
    <t>New York</t>
  </si>
  <si>
    <t>Maimonides Medical Center's program focused on care for adults with serious mental illness and emphasized a multi-disciplinary care team, training care managers and care navigators, enhancing coordination of care, and implementing uniform care standards</t>
  </si>
  <si>
    <t xml:space="preserve">No significant change in outcomes for Medicare population. </t>
  </si>
  <si>
    <t>No significant change in outcomes for Medicare population</t>
  </si>
  <si>
    <t>Bundled Payment for Mobile Acute Care Team Services</t>
  </si>
  <si>
    <t>Hospital</t>
  </si>
  <si>
    <t>The HaH program provided acute and post-acute care services in a patient’s home. Through the three-year cooperative agreement, Mount Sinai extensively modified the program to increase enrollment and enhance care provided to participants. By the end of the cooperative agreement, the HaH program evolved to also provide palliative and subacute rehabilitation care and care for patients averse to entering the hospital.</t>
  </si>
  <si>
    <t>It was not possible to conduct a rigorous impact evaluation of the HaH program and measure the impact of the intervention on service use and costs among Medicare FFS beneficiaries</t>
  </si>
  <si>
    <t>This report does not present impact estimates.</t>
  </si>
  <si>
    <t>Bundled Payments for Care Improvement (BPCI) Advanced</t>
  </si>
  <si>
    <t>Episode-based payment</t>
  </si>
  <si>
    <t>Acute Care Hospitals and Physician Group Practices</t>
  </si>
  <si>
    <t>nationwide</t>
  </si>
  <si>
    <t>Participants are responsible for total Medicare FFS spending on all items and services furnished to a beneficiary during the Clinical Episode -which begins either at the start of an inpatient admission or outpatient procedure + 90 days - including outlier payments.</t>
  </si>
  <si>
    <t>Reduction in payments
were primarily driven by
reductions in skilled nursing
facility (SNF) and inpatient
rehabilitation facility (IRF)
payments.  Despite hospitals reducing average episode payments in seven out of 13 clinical episodes analyzed over the first 10
months, after accounting for reconciliation payments made to participants, Medicare experienced estimated net losses
under BPCI Advanced.</t>
  </si>
  <si>
    <t>Increased costs</t>
  </si>
  <si>
    <t>Quality of care was generally
maintained . Beneficiary surveys
indicated no differences in self - reported changes in functional status, care experience, or satisfaction with care between BPCI Advanced and
comparison respondents.</t>
  </si>
  <si>
    <t>Bundled Payments for Care Improvement (BPCI) Initiative</t>
  </si>
  <si>
    <t>Acute Care Hospitals, Skilled Nursing Facilities, Physician Group Practices, Home Health Agencies, Inpatient Rehabilitation Facilities, Long-term Care Hospitals</t>
  </si>
  <si>
    <t xml:space="preserve">There are four BPCI models. Model 1 focused on inpatient stay in an acute care hospitals. Models 2 and 3 involve a retrospective bundled payment. Model 4 involves a single, prospectively determined bundled payment. </t>
  </si>
  <si>
    <t xml:space="preserve">Reduced Medicare FFS payments </t>
  </si>
  <si>
    <t>No impact</t>
  </si>
  <si>
    <t>CAPABLE for frail dually eligible older adults: achieving the triple aim by improving functional ability at home</t>
  </si>
  <si>
    <t>yes</t>
  </si>
  <si>
    <t>Occupational therapist, RN care manager</t>
  </si>
  <si>
    <t>Maryland</t>
  </si>
  <si>
    <t xml:space="preserve">An occupational therapist and RN care manager conduct a series of home visits and collaborate with clients to identify goals to improve functioning. </t>
  </si>
  <si>
    <t>Reduction in Medicare total cost of care. Increasing trend in Medicaid total cost of care, but not statistically significant.</t>
  </si>
  <si>
    <t xml:space="preserve">Decrease in Medicaid hospitalizations, Medicare ED visits, Medicare readmissions. Participants report that the providers communicated and coordinated amongst themselves to assist in accomplishing participant goals. Participants reported improvements in health, physicial functioning, and ability to conduct daily activities independently. </t>
  </si>
  <si>
    <t>Care management of mental and physical co-morbidities: a TripleAim bulls-eye</t>
  </si>
  <si>
    <t>Health care systems, physicians, specialists, care managers</t>
  </si>
  <si>
    <t>California, Colorado, Massachusetts, Michigan, Minnesota, Pennsylvania, Washington, Wisconsin</t>
  </si>
  <si>
    <t xml:space="preserve">The Institute for Clinical Systems Improvement (ICSI) uses care managers and care teams to assess condition severity, monitor care, provide relapse prevention, change treatment as needed, and transition beneficiaries to self-management for high-risk adult patients with Medicare or Medicaid coverage who have depression in addition to diabetes or cardiovascular disease. </t>
  </si>
  <si>
    <t>No significant differences between expenditures pre- and post- intervention</t>
  </si>
  <si>
    <t>Decrease in ED visits. Improved health outcomes related to depression, hypertension, and diabetes.</t>
  </si>
  <si>
    <t>Care team integration of the home-based workforce</t>
  </si>
  <si>
    <t>In-home support services</t>
  </si>
  <si>
    <t>This model serves beneficiaries of CA's Medicaid personal care services program (IHSS). All beneficiaries are disabled and 85% are dual eligible enrollees. It focuses on developing the IHSS workforce by training providers. The goal of the program is to reduce ER visits, reduce hospital admissions, and reduce the average length of stay in nursing homes over the same time period.</t>
  </si>
  <si>
    <t>Increase in overall total cost of care. Decrease in the second year only.</t>
  </si>
  <si>
    <t>Most IHSS providers report satisfaction with training and acquisition of new skills. Patients reporting excellent, very good, or good health doubled after training. Decrease in ED visits in the second year only</t>
  </si>
  <si>
    <t>Community Care Response Initiative</t>
  </si>
  <si>
    <t>Fire and Medical Departmet, hospitals</t>
  </si>
  <si>
    <t>Arizona</t>
  </si>
  <si>
    <t>The Mesa Fire and Medical Department redesigned its 911 emergency response by dispatching CM units to low-acuity callers and treating them on site in the community—often at home—instead of transporting them to the ED. CM units also provided CT services to participants with selected chronic conditions who were recently discharged from the hospital.</t>
  </si>
  <si>
    <t>There was no estimated reduction in total Medicare expenditures.</t>
  </si>
  <si>
    <t>Medicare ambulance transports declined in the short run only, but Medicare ambulance expenditures declined over both a 3- and a 12-month follow-up period.</t>
  </si>
  <si>
    <t xml:space="preserve">Community Health Access and Rural Transformation (CHART) </t>
  </si>
  <si>
    <t>Announced</t>
  </si>
  <si>
    <t>15 Lead Organizations; 20 ACOs</t>
  </si>
  <si>
    <t>rural</t>
  </si>
  <si>
    <t>CMS is providing funding for rural communities to build systems of care through a Community Transformation Track and is enabling providers to participate in value-based payment models where they are paid for quality and outcomes, instead of volume, through an Accountable Care Organizations (ACO) Transformation Track.</t>
  </si>
  <si>
    <t>Community health workers and Health Care for the Homeless (HCH): a partnership to promote primary care</t>
  </si>
  <si>
    <t>Community health workers</t>
  </si>
  <si>
    <t>Arizona, Delaware, Florida, Indiana, Minnesota, New York, Ohio, Texas</t>
  </si>
  <si>
    <t>The National Health Care for the Homeless Council implemented an innovation with the goal of transitioning 500 people experiencing homeless who frequently used EDs for healthcare into appropriate primary care.</t>
  </si>
  <si>
    <t>Significant reductions in hospital and ED-related costs. Average spending per patient for Medicare was significantly lower in the innovation period compared to the baseline.</t>
  </si>
  <si>
    <t>No significant reduction in ED visits. No notable health outcomes in the targeted populations</t>
  </si>
  <si>
    <t>Community oncology medical homes (COME HOME)</t>
  </si>
  <si>
    <t xml:space="preserve">Community oncology practices </t>
  </si>
  <si>
    <t>Florida, Georgia, Maine, New Mexico, Ohio, Texas</t>
  </si>
  <si>
    <t>Innovative Oncology Business Solutions, Inc. (IOBS) is a New Mexico‒based for-profit corporation created for the purpose of administering the Community Oncology Medical Home (COME HOME) model. COME HOME provided integrated, coordinated care to patients with cancer through three main program components: triage pathways, enhanced access, and treatment pathways.</t>
  </si>
  <si>
    <t>Significantly lower average cost of care ($612 less per patient per quarter). Significant decreases in cost of care in the last 30 to 90 days of life ($959‒$5,790 per patient).</t>
  </si>
  <si>
    <t>May prevent or reduce the need for intensive treatment for patients at the end of life</t>
  </si>
  <si>
    <t>Community-based Care Transitions Program</t>
  </si>
  <si>
    <t>Speed the adoption of best practices</t>
  </si>
  <si>
    <t xml:space="preserve">Community-based organizations </t>
  </si>
  <si>
    <t>OH, AZ, MA, MI, PA, IL, NY, IN, CA, AL, KY</t>
  </si>
  <si>
    <t>11 to 20 states</t>
  </si>
  <si>
    <t>Only upside</t>
  </si>
  <si>
    <t>The Community-based Care Transitions Program (CCTP), created by Section 3026 of the Affordable Care Act, tested models for improving care transitions from the hospital to other settings and reducing readmissions for high-risk Medicare beneficiaries. The goals of the CCTP were to improve transitions of beneficiaries from the inpatient hospital setting to other care settings, to improve quality of care, to reduce readmissions for high-risk beneficiaries, and to document measurable savings to the Medicare program.</t>
  </si>
  <si>
    <t xml:space="preserve">Lower expenditures </t>
  </si>
  <si>
    <t>Lower readmission rates in few sites.</t>
  </si>
  <si>
    <t>CommunityRx system: linking patients and community-based service</t>
  </si>
  <si>
    <t>Community health and social service resources, Health IT</t>
  </si>
  <si>
    <t>Illinois</t>
  </si>
  <si>
    <t>This innovation utilizes aggregate electronic health record (EHR) and community resource data to provide patient-centered e-prescriptions called HealtheRx, which include resources for community health and social services.</t>
  </si>
  <si>
    <t>Minimal effect</t>
  </si>
  <si>
    <t>Fewer inpatient stays and unplanned readmissions per 1000 patients/admissions. Mixed health outcomes</t>
  </si>
  <si>
    <t>Comprehensive Care for Joint Replacement (CJR)</t>
  </si>
  <si>
    <t>67 metropolitan statistical areas (MSA) in:
AL, AR, CA, CO, CT, FL, GA, IL, IN, KS, KY, LA, MI, MO, MS, NC, ND, NE, NM, NV, NY, OH, PA, SC, TN, TX, UT, VA, WA, WI</t>
  </si>
  <si>
    <t xml:space="preserve">Participant hospitals are financially accountable for a CJR episode of care. Every year, hospitals will receive separate episode target prices to reflect the differences in spending for episodes initiated by different MS-DRGs. </t>
  </si>
  <si>
    <t>Episode payment reductions</t>
  </si>
  <si>
    <t>Comprehensive community-based approach to reducing inappropriate imaging</t>
  </si>
  <si>
    <t>PCPs, specialists</t>
  </si>
  <si>
    <t>Michigan</t>
  </si>
  <si>
    <t xml:space="preserve">This program established a data-exchange system between primary care adn imaging facilities to increase evidence-based decision-making among physicians ordering MRIs and CTs, aiming to prevent unnecessary imaging. </t>
  </si>
  <si>
    <t>Downwards trends in spending, but likely not statistically significant</t>
  </si>
  <si>
    <t>Patients report better care, fewer inpatient stays, more ED visits, health improvements related to lower radiation procedures</t>
  </si>
  <si>
    <t>Comprehensive ESRD Care</t>
  </si>
  <si>
    <t>Dialysis facilities, nephrologists, other providers</t>
  </si>
  <si>
    <t xml:space="preserve"> 18 states (mostly eastern US)</t>
  </si>
  <si>
    <t xml:space="preserve">CEC Model is designed to identify, test, and evaluate new ways to improve care for Medicare beneficiaries with ESRD. Dialysis facilities, nephrologists, and other providers create an End-Stage Renal Disease Comprehensive Care Organization (ESCO) to coordinate care. </t>
  </si>
  <si>
    <t>Redued spending. Aggregate net losses to the overall Medicare program</t>
  </si>
  <si>
    <t>Fewer hospitalizations from ESRD complications</t>
  </si>
  <si>
    <t>Comprehensive home-based dementia care coordination for Medicare-Medicaid Dual Eligibles in Maryland</t>
  </si>
  <si>
    <t>Patients homes, home health agencies</t>
  </si>
  <si>
    <t>Johns Hopkins University implemented the MIND at Home program to identify and address the unmet needs of adults who had been diagnosed with Alzheimer’s disease or another dementia-related neurodegenerative disease and their caregivers to improve health outcomes, reduce health care costs, and prevent or delay institutionalization.</t>
  </si>
  <si>
    <t>Due to the small study sample and an inability to replicate the eligibility criteria in claims, it was not possible to conduct a rigorous impact evaluation of this program.</t>
  </si>
  <si>
    <t>Comprehensive longitudinal advanced illness management (CLAIM)”</t>
  </si>
  <si>
    <t xml:space="preserve">Hospital </t>
  </si>
  <si>
    <t>Pennsylvania</t>
  </si>
  <si>
    <t>The Trustees of the University of Pennsylvania (UPenn) implemented the Comprehensive Longitudinal Advanced Illness Management (CLAIM) program for individuals with advanced cancer who did not yet qualify for hospice. The program employed a nurse practitioner in conjunction with home health aides, licensed practical nurses, chaplains, and social workers to provide skilled home care. The program offered in-home support, symptom management, crisis management, and emotional and spiritual support to improve the quality of life of patients with advanced cancers and to limit symptoms and pain-related hospitalizations.</t>
  </si>
  <si>
    <t>Data are not available to evaluate these measures.</t>
  </si>
  <si>
    <t>CLAIM performed significantly better than its target goal for managing pain for participants with advanced cancers. CLAIM improved quality of life for both cancer patients and caregivers by managing pain, providing home-based care, and initiating early discussions of the goals of care. Patients and caregivers reported a greater sense of confidence as a result of the pain and symptom management services.</t>
  </si>
  <si>
    <t>Comprehensive Primary Care (CPC) Initiative</t>
  </si>
  <si>
    <t>Primary care transformation</t>
  </si>
  <si>
    <t xml:space="preserve">Primary care practices </t>
  </si>
  <si>
    <t>AK, CO, NJ, NY, OH, KY, OK, OR</t>
  </si>
  <si>
    <t>Improve primary care, care quality, and lower  costs through five care delivery functions. Participating practices receive a monthly care management fee for each Medicare FFS beneficiary and for each Medicaid FFS beneficiary in states where the state Medicaid agency is participating</t>
  </si>
  <si>
    <t>CPC generated savings in one region for PY2014 and four regions for PY2015. 10 out of 15 payers reporting their results in PY2015 found that CPC generated savings for at least one line of business/group of practices</t>
  </si>
  <si>
    <t>Lower hospitalization rates and ED visits, reduced primary care visits. Minimal effects on quality of care process and outcome measures</t>
  </si>
  <si>
    <t>Comprehensive Primary Care Plus (CPC+)</t>
  </si>
  <si>
    <t>Primary care practices</t>
  </si>
  <si>
    <t>18 regions across the United States in:
AK, CO, HI, KS, KY, LA, MI, MO,MT, NE, ND, NY, NJ, OH, OK, OR, PA, RI, and TN</t>
  </si>
  <si>
    <t>National advanced primary care model that aims to strengthen primary care through state-based multi-payer payment reform and care delivery transformation. Built on the foundation and lessons learned from the original CPC model.</t>
  </si>
  <si>
    <t xml:space="preserve">No progress in shifting from traditional FFS payments </t>
  </si>
  <si>
    <t>few, very small favorable impacts</t>
  </si>
  <si>
    <t>Comprehensive stroke care model through the continuum of care</t>
  </si>
  <si>
    <t>Louisiana</t>
  </si>
  <si>
    <t>Ochsner Clinic Foundation in Louisiana developed two programs to coordinate stroke care from emergency department (ED) admission through outpatient rehabilitation. Stroke Central targeted patients at Ochsner Medical Center presenting with suspected stroke symptoms and stroke diagnosis; a program nurse practitioner or physician assistant coordinated patients’ care with multidisciplinary teams in the hospital. Stroke Mobile then coordinated these patients’ care upon discharge. Stroke Mobile teams consisting of a registered nurse (RN) and a lay health educator conducted monthly home visits with stroke survivors for one year post-discharge and provided clinical care and targeted stroke education for patients, caregivers, and families living in Jefferson and St. Tammany Parishes</t>
  </si>
  <si>
    <t>No clear trends for cost outcomes</t>
  </si>
  <si>
    <t>Stroke Mobile participants and caregivers reported changes in behavior (e.g., reduced sodium intake, increased exercise).
Caregivers of Stroke Mobile participants reported reduced stress</t>
  </si>
  <si>
    <t>COOPER UNIVERSITY HOSPITAL</t>
  </si>
  <si>
    <t>Hospital, community health organization</t>
  </si>
  <si>
    <t>New Jersey</t>
  </si>
  <si>
    <t>Parts C &amp; D</t>
  </si>
  <si>
    <t>Cooper University Hospitl and the Camden Coalition of Healthcare Providers (CUH/CCHP) received an award to expand it care coordination program. The program targets people with high rates of inpatient utilization. The aims of the program were to reduce the need for costly acute care services, improve health outcomes, and meet patient-centered goals.</t>
  </si>
  <si>
    <t>unable to estimate program impacts for  Cooper University Hospital and Camden Coalition of Health Care Providers because of challenges identifying an appropriate comparison group</t>
  </si>
  <si>
    <t>COPD Access to Community Health (CATCH)</t>
  </si>
  <si>
    <t>Low-risk chronic conditions</t>
  </si>
  <si>
    <t>Patients’ homes and family clinics</t>
  </si>
  <si>
    <t>Ventura County Health Care implemented the CATCH program to improve the quality of care for Ventura County residents with COPD by enhancing providers’ and patients’ awareness of the GOLD guidelines and expanding access to health care and resources for patients with COPD. The program also provided services, such as nicotine replacement therapy, for patients identified as at risk of developing COPD. The awardee expected these improvements to decrease the incidence of avoidable hospitalizations, ED visits, and visits to PCPs</t>
  </si>
  <si>
    <t>The evaluation cannot make inferences about the impact of this program on Medicare costs or other program outcomes.</t>
  </si>
  <si>
    <t>It was not possible to conduct a rigorous impact evaluation of the GOLD program because of how the awardee identified and recruited participants into the program, as well as the lack of available Medicaid data of acceptable quality covering the program period.</t>
  </si>
  <si>
    <t>Cost-effective delivery of enhanced home caregiver training</t>
  </si>
  <si>
    <t>Hospital Setting</t>
  </si>
  <si>
    <t>The project will use multidisciplinary teams—including Registered Nurses, Licensed Practical Nurses, social workers, and medical assistants led by Comprehensive Care Physicians (CCPs)—to provide consistent care to Medicare beneficiaries before, during, and after hospitalizations. CCPs will perform rounds in hospitals 48 weeks per year, ensuring they see patients and monitor their health consistently. The targeted population will include beneficiaries with a high probability of hospitalization, making it more likely that CCPs will encounter their patients during rounds in the hospital.</t>
  </si>
  <si>
    <t xml:space="preserve">Did not find statistically significant impact on Medicare expenditures or hospitalizations. </t>
  </si>
  <si>
    <t xml:space="preserve"> the CCP study was not able to recruit enough patients to power the study
for the end points of interest</t>
  </si>
  <si>
    <t>Creating a Virtual Accountable Care Network for Complex Medicare Patients</t>
  </si>
  <si>
    <t>Pennsylvania, West Virginia</t>
  </si>
  <si>
    <t xml:space="preserve">This project focuses on the general primary care population of the geographic area (Western PA) as well as beneficiaries with COPD, CHF, and CAD. Integrated care teams will provide support for care transitions, intensive chronic disease management, medication adherence, and other problems related to lack of communication within health care systems. Goals are to reduce 30-day readmissions and avoidable disease-specific admissions. </t>
  </si>
  <si>
    <t>Reduction in 180-day cost of care for patients with AMI. Increase in 90-day cost of care for patients with CHF</t>
  </si>
  <si>
    <t>Decrease in 180-day ED visits and 90- and 180-day ED visits for patients with COPD. Increase in 7- and 30-day practitioner follow-up</t>
  </si>
  <si>
    <t>Deep South Cancer Navigation Network (DSCNN)</t>
  </si>
  <si>
    <t xml:space="preserve">Hospitals </t>
  </si>
  <si>
    <t>Alabama, Florida, Georgia, Mississippi, and Tennessee</t>
  </si>
  <si>
    <t>The University of Alabama at Birmingham (UAB) implemented a lay patient navigator program called Patient Care Connect (PCC). The PCC program used lay navigators to improve patients’ adherence to care plans and to educate cancer patients and survivors about how to find and use the resources they need, with the goal of empowering patients, caregivers, and patients’ families to better advocate for their own care.</t>
  </si>
  <si>
    <t>Significant decreases in cost of care in the last 30 to 90 days of life ($2,733‒$8,093 per patient)</t>
  </si>
  <si>
    <t>Significant increases in hospice use in the last two weeks of life</t>
  </si>
  <si>
    <t>Delirium detection and prevention across the continuum</t>
  </si>
  <si>
    <t>Texas</t>
  </si>
  <si>
    <t>Introduction The Houston Methodist Hospital (HMH) System received HCIA funding to implement the Delirium Detection and Prevention across the Continuum program (delirium program) designed to detect and reduce delirium in the HMH and four community hospitals in the Houston Methodist system. The program included a nurse-administered Delirium Screening Tool and an algorithm-based automated calculation of a Delirium Risk Assessment to be used as screening tools twice daily for all patients aged 70 and older, with the exception of those in ICUs.</t>
  </si>
  <si>
    <t xml:space="preserve"> The facility-wide screening component of the delirium program was associated with a significant $301 increase in mean Medicare spending per episode (p&lt;0.05) and $118 increase in median Medicare spending (p&lt;0.01).  The average Medicare expenditure for these episodes increased $491 more for intervention than for similar comparison patients (p&lt;0.05), while median Medicare expenditures was $404 greater
(p&lt;0.01). </t>
  </si>
  <si>
    <t>few statistically significant differences between intervention and comparison survey respondents; no significant reduction in 30-day readmissions or ED visits</t>
  </si>
  <si>
    <t>Diabetes Prevention Program, originally named Delivery on the promise of diabetes prevention programs</t>
  </si>
  <si>
    <t xml:space="preserve">MDPP suppliers </t>
  </si>
  <si>
    <t>Illinois, New Jersey, New York</t>
  </si>
  <si>
    <t>Parts B &amp; C</t>
  </si>
  <si>
    <t xml:space="preserve">The National DPP lifestyle intervention was tested in 17 YMCA
facilities across the country. It is an evidence-based lifestyle change program recognized by the CDC to help reduce the risk of Type 2 diabetes and improve population health. </t>
  </si>
  <si>
    <t>Statistically significant reduction in spending.</t>
  </si>
  <si>
    <t>Statistically significant decreases in inpatient stays and ED visits. Statistically insignificant impact on readmissions. Weight loss achieved for improved health outcomes</t>
  </si>
  <si>
    <t>Disruptive Innovation @ Intermountain Healthcare</t>
  </si>
  <si>
    <t>Hospitals, clinics, health plan</t>
  </si>
  <si>
    <t>Idaho, Utah</t>
  </si>
  <si>
    <t>Intermountain Healthcare, a nonprofit integrated health care system, piloted "disruptive innovation," an initiative focused on patient engagement, population management, and a shared savings model.</t>
  </si>
  <si>
    <t>Nonsignificant increase in spending in Cohort 1, nonsigificant reduction in spending in Cohort 2, significant losses in Cohort 3.</t>
  </si>
  <si>
    <t xml:space="preserve">No significant impact on ED visits or unplanned readmissions, greater likelihood of hospital admissions, some positive health trends. </t>
  </si>
  <si>
    <t>Dissemination of the aging brain care program</t>
  </si>
  <si>
    <t>Care coordinators, care coordinator assistants, and social workers.</t>
  </si>
  <si>
    <t>Indiana</t>
  </si>
  <si>
    <t>Indiana University implemented the Aging Brain Care (ABC) program, a care management intervention employing a team of care coordinators (registered nurses), care coordinator assistants (lay health workers), and social workers. Using home visits, the program screened for disease progression and offered caregiver support, education in coping mechanisms, and advance care planning to older adults with dementia and/or depression</t>
  </si>
  <si>
    <t>No clear trends for cost of care</t>
  </si>
  <si>
    <t>Caregivers reported more stress relief. Improved communication among patients, caregivers, and their providers. Patients and caregivers developed better coping mechanisms</t>
  </si>
  <si>
    <t>eConsults/eReferrals: Controlling Costs and Improving Quality at the Interface of Primary Care and Specialty Care</t>
  </si>
  <si>
    <t>PCP, AMCs, Hospitals</t>
  </si>
  <si>
    <t>New Hampshire, Iowa, Wisconsin, Virginia, California</t>
  </si>
  <si>
    <t>The goal of the CORE program was to reduce wait times for specialty care appointments and increase the effectiveness of referral processes by improving communication and care coordination between primary care physicians (PCPs) and specialists across 18 targeted specialties</t>
  </si>
  <si>
    <t>Analyses showed statistically significant reductions of $21 in total Medicare spending and $7 in inpatient spending among the treatment group relative to the comparison group. The size of the estimates and their statistical significance drops markedly if one AMC (the University of Iowa) is excluded.</t>
  </si>
  <si>
    <t>It estimated treatment beneficiaries to be nearly 2 percent more likely to have a specialist visit for one of the five most commonly visited specialties for which eConsults and eReferrals were available.</t>
  </si>
  <si>
    <t>ED Care Management Initiative: Preventing Avoidable ED/Inpatient Use</t>
  </si>
  <si>
    <t>High-risk chronic conditions</t>
  </si>
  <si>
    <t>The NYC H+H ED Care Management Initiative provided care management in the ED and 90-day care coordination (which covered the transition to comprehensive ambulatory care) to eligible patients who visited the ED</t>
  </si>
  <si>
    <t>There was little estimated effect of the program on total Medicare expenditures and use of inpatient services.</t>
  </si>
  <si>
    <t>The ED Care Management Initiative led to meaningful reductions in all-cause ED visits among high-risk Medicaid beneficiaries who became eligible for the program within its first 9 months, and a reduction in the likelihood of frequent ED use among both Medicare and high-risk Medicaid beneficiaries</t>
  </si>
  <si>
    <t>Emergency Triage, Treat, and Transport (ET3)</t>
  </si>
  <si>
    <t>Participants announced</t>
  </si>
  <si>
    <t>Medicare-enrolled ambulance service suppliers and hospital-owned ambulance providers</t>
  </si>
  <si>
    <t xml:space="preserve">36 states and DC </t>
  </si>
  <si>
    <t>Emergency Triage, Treat, and Transport (ET3) is a voluntary, five-year payment model that will provide greater flexibility to ambulance care teams to address emergency health care needs of Medicare Fee-for-Service (FFS) beneficiaries following a 911 call. CMS will continue to pay to transport a Medicare FFS beneficiary to a hospital emergency department or other covered destination. In addition, under the model, CMS will pay participants to 1) transport to an alternative destination partner, such as a primary care office, urgent care clinic, or a community mental health center (CMHC), or 2) initiate and facilitate treatment in place with a qualified health care partner, either at the scene of the 911 emergency response or via telehealth</t>
  </si>
  <si>
    <t>Engaging patients through shared decision making: using patient and family activators to meet the triple aim”</t>
  </si>
  <si>
    <t xml:space="preserve">Health care systems </t>
  </si>
  <si>
    <t>California, Colorado, Idaho, Iowa, Maine, Massachusetts, Michigan, Minnesota, New Hampshire, New Jersey, New York, Oregon, Texas, Utah, Vermont, Washington</t>
  </si>
  <si>
    <t>The overall goal of this program was to use process improvement strategies to implement specific clinical services by three and six hours after an initial sepsis diagnosis, as defined by the Surviving Sepsis Campaign and National Quality Forum guidelines for the care of severe sepsis and septic shock. Over three years, the HVHC members aimed to improve optimal adherence to sepsis care bundles (guidelines) by five percent, reduce the burden of chronic morbidity from sepsis-associated chronic organ dysfunction, and achieve a five percent relative reduction in the percentage of patients with sepsis requiring long-term acute care or sub-acute nursing care after an incident episode of severe sepsis.</t>
  </si>
  <si>
    <t>No findings of statistical significance</t>
  </si>
  <si>
    <t xml:space="preserve"> this analysis shows no impact of the program on most quantitative metrics…. small but statistically significant decline in discharges to home health care, and being replaced by statistically insignificant and increased discharges to alternative
destinations</t>
  </si>
  <si>
    <t>Shared Decision Making</t>
  </si>
  <si>
    <t>Patients and health coaches</t>
  </si>
  <si>
    <t>Dartmouth’s HCIA award funded SDM activities across 14 HVHC member sites with the aim of helping patients make informed decisions about preference-sensitive surgery and manage chronic illnesses.</t>
  </si>
  <si>
    <t>Increase in Total Parts A and B expenditures. Statistically significant decrease of $572,191 in total skilled nursing facility expenditures, and $105,006 in total hospice expenditures. Statistically significant increase of $1,129,539 in total inpatient expenditures and an increase of total $348,632 in physician and ancillary service costs</t>
  </si>
  <si>
    <t>Increase in inpatient admissions, modest increases of 1,227 hospital days cumulatively and 524 days in Year 2.</t>
  </si>
  <si>
    <t>ESRD Treatment Choices (ETC)</t>
  </si>
  <si>
    <t>Selected ESRD managing clinicians and facilities</t>
  </si>
  <si>
    <t>Nationwide, stratified by region</t>
  </si>
  <si>
    <t>Two-sided</t>
  </si>
  <si>
    <t xml:space="preserve">Beneficiaries will be attributed on a month-by-month basis. There will be two types of payment adjustments: 1) uniformly positive adjustment on Medicare claims for home dialysis during the first three years to support those facilities/clinicians that allow for at-home dialysis; 2) Upward or downward adjustment that would apply to both home and facility-based dialysis and related claims, to be made per treatment payment based on the rate of home dialysis and transplant rate. </t>
  </si>
  <si>
    <t>Evidence-Conformant Oncology Care</t>
  </si>
  <si>
    <t>Cleveland, Ohio-based clinics associated with UHCMC</t>
  </si>
  <si>
    <t>Ohio</t>
  </si>
  <si>
    <t>UHCMC provided care management and coordination to patients with complex cancers to improve quality of care, improve patients’ satisfaction, reduce total cost of care, and demonstrate the feasibility and sustainability of a new payment model.</t>
  </si>
  <si>
    <t>No inferences can be made about the impact of this program on Medicare costs or other program outcomes</t>
  </si>
  <si>
    <t>It was not possible to conduct a rigorous impact evaluation of the LINCC program because of the way in which it identified and recruited participants into the program</t>
  </si>
  <si>
    <t>Expand Atlantic General Hospital’s infrastructure to create a patient-centered medical home</t>
  </si>
  <si>
    <t xml:space="preserve">Health system -hospital and primary care practices </t>
  </si>
  <si>
    <t>Delaware, Maryland</t>
  </si>
  <si>
    <t>Atlantic General Hospital (AGH), a rural health care system with a 62-bed hospital, received a $1.1 million Health Care Innovation Award (HCIA) to implement a patientcentered medical home (PCMH) intervention at the hospital and its seven primary care practices in partnership with the Worcester County Health Department (WCHD) of Maryland</t>
  </si>
  <si>
    <t xml:space="preserve">Reduction in Medicare Part A and B spending </t>
  </si>
  <si>
    <t>Quality-of-care processes domain: Statistically significant
favorable effect                                 Quality-of-care outcomes domain: Substantively important unfavorable effect</t>
  </si>
  <si>
    <t>Expanding and testing a Nurse Practitioner-led health home model for individuals with developmental disabilities</t>
  </si>
  <si>
    <t>Community-integrated physicians offices, clinics</t>
  </si>
  <si>
    <t>New Jersey, New York</t>
  </si>
  <si>
    <t xml:space="preserve">This primary care model combines the skills of an NP and physician to combine primary care services with specialized medication and psychiatry knowledge to provide care for those with intellectual and developmental disabilities. </t>
  </si>
  <si>
    <t>Non significant increase</t>
  </si>
  <si>
    <t>Decrease in ED utilization. Beneficiaries reported timeliness in service delivery, ease in accessing care, and improved health.</t>
  </si>
  <si>
    <t>Financial Alignment for MMEs</t>
  </si>
  <si>
    <t>Financial alignment Medicare &amp; Medicaid</t>
  </si>
  <si>
    <t>States</t>
  </si>
  <si>
    <t xml:space="preserve">CA, CO, IL, MA, MI, MN, NY, OH, RI, SC, TX, VA, WA </t>
  </si>
  <si>
    <t>Parts A, B, C &amp; D</t>
  </si>
  <si>
    <t xml:space="preserve">CMS is working with States to test two models to integrate primary, acute, behavioral health and long-term services and supports for dually eligible individuals and better align the financing of the Medicare and Medicaid programs. The two models are capitated model and managed fee-for-service model. </t>
  </si>
  <si>
    <t xml:space="preserve">Varies based on state (no savings or losses in CA, lower expenditures in IL, etc.) </t>
  </si>
  <si>
    <t>Varies based on state (CA and IL were mixed, etc.)</t>
  </si>
  <si>
    <t>FQHC Advanced Primary Care Practice</t>
  </si>
  <si>
    <t>The Federally Qualified Health Center (FQHC) Advanced Primary Care Practice demonstration showed how the patient-centered medical home model can improve quality of care, promote better health, and lower costs. Participating FQHCs were expected to achieve Level 3 patient-centered medical home recognition, help patients manage chronic conditions, as well as actively coordinate care for patients.</t>
  </si>
  <si>
    <t>No effects on Medicare expenditures</t>
  </si>
  <si>
    <t>No statistically significant effects on beneficiary engagement or experiences. Some improvement in access and timeliness</t>
  </si>
  <si>
    <t>From clinic to community: achieving health equity in the southern United States</t>
  </si>
  <si>
    <t xml:space="preserve">PHI, FQHCs, health centers, academia </t>
  </si>
  <si>
    <t>Mississippi, North Carolina, West Virginia</t>
  </si>
  <si>
    <t xml:space="preserve">The Southeastern Diabetes Initiative (SEDI) at Duke University targeted patients based on their risk of adverse events from diabetes through three interventions: a care management program, including home visits for high-risk participants; a telephone support program for medium-risk participants; and an outreach and education program targeted to an entire community, including low-risk participants. </t>
  </si>
  <si>
    <t>Data are not available to evaluate this measure.</t>
  </si>
  <si>
    <t>Among high-risk participants:
Improved understanding of diabetes management and sense of connection between SEDI staff and providers.
Improvements in confidence to manage diabetes and self-rated mental and physical health Improvements in hemoglobin A1c (HbA1c) levels</t>
  </si>
  <si>
    <t>Frontier Community Health Integration Project</t>
  </si>
  <si>
    <t>Critical Access Hospitals</t>
  </si>
  <si>
    <t>MT, ND, NV</t>
  </si>
  <si>
    <t>The Frontier Community Health Integration Project Demonstration aims to develop and test new models of integrated, coordinated health care in the most sparsely-populated rural counties with the goal of improving health outcomes and reducing Medicare expenditures.</t>
  </si>
  <si>
    <t>Minimal improvement in hospital financial performance</t>
  </si>
  <si>
    <t>Limited impacts on care delivery, despite opportunities to make changes</t>
  </si>
  <si>
    <t>Frontier Extended Stay Clinic (FESC)</t>
  </si>
  <si>
    <t>primary care transformation</t>
  </si>
  <si>
    <t>Remote clinics</t>
  </si>
  <si>
    <t xml:space="preserve">1 Region (Seattle Region) </t>
  </si>
  <si>
    <t>The Frontier Extended Stay Clinic (FESC) demonstration, mandated by Section 434 of the Medicare Modernization Act, allowed remote clinics to treat patients for more extended periods, including overnight stays, than are entailed in routine physician visits.</t>
  </si>
  <si>
    <t>Net reduction in Medicare spending. Due to limited volume and high start-up and maintenance costs, the provision of extended stay services
is not likely sustainable under Medicare fee-for-service. hese resources are costly to maintain. A study of three demonstration clinics conducted by Stroudwater Associates under HRSA funding indicated that the cost of staffing alone was more than $500,000 a year per clinic, well above the amount they received in enhanced payments for extended stay services under the demonstration. Thus, because of the low volume of extended stay cases and the high
costs of building and maintaining the capacity to provide such care, these services are not likely
sustainable in clinics in isolated rural areas under the enhanced fee-for-service payment system implemented under the demonstration, even though the provision of extended stay services is cost-saving for insurers such as Medicare.</t>
  </si>
  <si>
    <t>Clinics became better equipped to treat urgent care cases locally</t>
  </si>
  <si>
    <t>Frontier Medicine Better Health Partnership</t>
  </si>
  <si>
    <t>CAHs</t>
  </si>
  <si>
    <t>Montana</t>
  </si>
  <si>
    <t xml:space="preserve">The Frontier Medicine Better Health Partnership innovation partnered 25 CAHs  across Montana to standardize coordination of care across the specturm of medical services, emphasizing that patients receive the right care at the right time from the right provider. </t>
  </si>
  <si>
    <t>Insignificant spending effects</t>
  </si>
  <si>
    <t>No health outcomes data. Intervention significantly reduced inpatient admissions, increased ED visit rates, and had no effect on unplanned readmisisons.</t>
  </si>
  <si>
    <t>Geographic Direct Contracting</t>
  </si>
  <si>
    <t>Health systems, providers, insurers, etc</t>
  </si>
  <si>
    <t>AZ, CA, FL, GA, PA, TX</t>
  </si>
  <si>
    <t>Through the model, participants will take responsibility for beneficiaries’ health outcomes, giving participants a direct incentive to improve care across entire geographic regions. Within each region, organizations with experience in risk-sharing arrangements and population health will partner with health care providers and community organizations to better coordinate care.
Update: The Geographic Direct Contracting Model is currently under review and will no longer begin on January 1, 2022. CMS looks forward to sharing additional information when available.</t>
  </si>
  <si>
    <t>Geriatric emergency department innovations in care through workforce, informatics, and structural enhancements (GEDI WISE)"</t>
  </si>
  <si>
    <t>Hospital EDs</t>
  </si>
  <si>
    <t>GEDI WISE provided enhanced services to ED patients aged 65 and older with the goal of reducing inpatient hospital admissions from the ED, as well as return visits to the ED. The program aimed to change the paradigm for treating older adults in EDs who are at risk for admission to the hospital. By augmenting and training ED staff, enhancing staff-to-patient ratios, and improving the built environment in EDs, the GEDI WISE program allowed more time and staff resources to make careful decisions regarding hospital admission for these borderline cases</t>
  </si>
  <si>
    <t>The Mt. Sinai program was not associated with any significant changes in mean or median Medicare spending per episode</t>
  </si>
  <si>
    <t>We conclude that the GEDI WISE program appeared to better meet patients’ needs in the ED and this helped avert some immediate hospitalizations; however, this was essentially a temporary delay that ultimately did not lead to reductions in hospital ED use</t>
  </si>
  <si>
    <t>Global and Professional Direct Contracting (GPDC)</t>
  </si>
  <si>
    <t>Direct Contracting Entities (broad range of physician practices and other organizations)</t>
  </si>
  <si>
    <t xml:space="preserve">39 states, DC, and Puerto Rico </t>
  </si>
  <si>
    <t>Direct Contracting is a set of three voluntary payment model options aimed at reducing expenditures and preserving or enhancing quality of care for beneficiaries in Medicare FFS. The payment model options available under Direct Contracting create opportunities for a broad range of organizations to participate with CMS in testing the next evolution of risk-sharing arrangements to produce value and high quality health care.</t>
  </si>
  <si>
    <t>Graduate Nurse Education</t>
  </si>
  <si>
    <t>Academic Hospitals</t>
  </si>
  <si>
    <t>PA, NC, AZ, IL, TX</t>
  </si>
  <si>
    <t xml:space="preserve">Under the Graduate Nurse Education Demonstration, CMS will provide reimbursement to up to five eligible hospitals for the reasonable cost of providing clinical training to advanced practice registered nursing (APRN) students added as a result of the demonstration. The primary goal of the demonstration is to increase the provision of qualified training to APRN students. </t>
  </si>
  <si>
    <t>More APRNs enrolled adn graduated following the demonstration</t>
  </si>
  <si>
    <t>Health Care Innovation Challenge: LifeLong complex care initiative to achieve the Triple Aim</t>
  </si>
  <si>
    <t>FQHC</t>
  </si>
  <si>
    <t>LifeLong Medical Care is a FQHC that offers clinic-based care coordination and client engagement to high-risk adults. This model includes home visits integrated with peer coaching and workshops focused on independent living skills.</t>
  </si>
  <si>
    <t xml:space="preserve"> Analysis limted due to lack of claims data related to cost</t>
  </si>
  <si>
    <t>Decrease in hospitalizations and ED visits during second year of enrollment. Most consumers reported satisfaction with the initiative, indicating ease in access to care and help in avoiding bigger health problems.</t>
  </si>
  <si>
    <t>Health Care Payment Learning and Action Network</t>
  </si>
  <si>
    <t>TBD</t>
  </si>
  <si>
    <t>public and private health plans</t>
  </si>
  <si>
    <t>The Department of Health and Human Services launched (through CMS) the Health Care Payment Learning and Action Network (LAN) in March 2015 to align with public and private sector stakeholders in shifting away from the current FFS, volume-based payment system to one that pays for high-quality care and improved health. The LAN provides a forum for generating evidence, sharing best practices, developing common approaches to the design and monitoring of APMs, and removing barriers to health care transformation across the U.S. health care system.</t>
  </si>
  <si>
    <t>Other</t>
  </si>
  <si>
    <t xml:space="preserve">Shift from FFS towards patient- and value-centered APMs. Cost depends on payer </t>
  </si>
  <si>
    <t>Mixed results. General shift towards patient-centered care</t>
  </si>
  <si>
    <t>Healthy Columbia: recruiting, training, organizing, deploying, and supporting community health teams in low income area of Columbia, South Carolina</t>
  </si>
  <si>
    <t>South Carolina</t>
  </si>
  <si>
    <t xml:space="preserve">Eau Clair Cooperative Health Centers, Inc (ECCHC) is a large FQHC serving four counties in/around Columbia, SC. The purpose of its HCIA award was to establish Innovations Health, a program of three microclinics established in neighborhoods identified as "hot spots" for their high ED utilization, poverty, limited access to primary care, and concentrated health disparities. </t>
  </si>
  <si>
    <t>Highly variable trends in spending. Sample size too small to measure the impact on spending</t>
  </si>
  <si>
    <t>High variability in the inpatient admissions and readmissions rate. No findings on health outcomes</t>
  </si>
  <si>
    <t>Healthy Transitions in Late Stage Kidney Disease</t>
  </si>
  <si>
    <t>Patients’ homes; nephrology clinics and practice offices</t>
  </si>
  <si>
    <t>Healthy Transitions was a patient-centered program that aimed to integrate and coordinate all aspects of care for people with late-stage CKD by (1) focusing on patient education and care management to delay the onset of ESRD and (2) helping patients make informed choices about ESRD treatment that reflect their personal preferences.</t>
  </si>
  <si>
    <t>It was not possible to conduct a rigorous impact evaluation of the Healthy Transitions program because of the way in which the awardee identified and recruited participants into the program.</t>
  </si>
  <si>
    <t>Due to the small sample size and an inability to replicate the eligibility criteria by using Medicare claims data , it was not possible to identify a comparison group that was similar to the intervention group at the time of enrollment into the program.</t>
  </si>
  <si>
    <t>HOME CARE +, a care coordination model for persons receiving home care to prevent hospital, ER and nursing home admission</t>
  </si>
  <si>
    <t>Home care agencies, nurse care managers</t>
  </si>
  <si>
    <t>This project uses a person-centered approach by a Home Care Consultant (nurse) to engage the participant as a team member in their health care decision making. It will focus on care continuity, care timing, medication adherence, disease management, reducing avoidable hospitalizations, and ER visits.</t>
  </si>
  <si>
    <t xml:space="preserve">Findings not statistically significant. </t>
  </si>
  <si>
    <t>Increase in 30-day readmissions. Increase in enrollees who report satistifaction with their home care, care coordination, and improvement in health.</t>
  </si>
  <si>
    <t>Home Health Value-Based Purchasing Model (HHVBP)</t>
  </si>
  <si>
    <t>All Medicare-certified HHAs in selected states</t>
  </si>
  <si>
    <t>MA, MD, NC, FL, WA, AZ, IA, NE, TN</t>
  </si>
  <si>
    <t>This new model is designed to support greater quality and efficiency of care among Medicare-certified Home Health Agencies (HHA) across the nation. The HHVBP Model supports the Department of Health and Human Services’ efforts to build a health care system that delivers better care, spends health care dollars more wisely, and results in healthier people and communities.</t>
  </si>
  <si>
    <t>Decline in total Medicare spending</t>
  </si>
  <si>
    <t>Modest but notable increases in quality of care and declines in utilization.</t>
  </si>
  <si>
    <t>Improving health for at-risk rural patients (IHARP) in 23 southwest Virginia counties through a collaborative pharmacist practice model</t>
  </si>
  <si>
    <t>primary care clinical pharmacist</t>
  </si>
  <si>
    <t>Virginia, West Virginia</t>
  </si>
  <si>
    <t xml:space="preserve">Their care delivery model, involving six rural and one urban hospitals and 20 primary care practices, trains pharmacists in transformative care and chronic disease management protocols. Through care coordination and shared access to electronic medical records, the project enables pharmacists to participate in improving medication adherence and management, resulting in better health, reduced hospitalizations and emergency room visits, and fewer adverse drug events for patients with multiple chronic diseases. </t>
  </si>
  <si>
    <t>The intervention was associated with a total cumulative increase of $401,615 in physician/carrier costs, and $908,845 in skilled nursing facility costs</t>
  </si>
  <si>
    <t>One important contributor to the acceptance of the IHARP program was the Patient Centered Medical Home structure of the participating practices.</t>
  </si>
  <si>
    <t>Improving health for the elderly in North Dakota one community at a time</t>
  </si>
  <si>
    <t>LTC and assisted living facilities</t>
  </si>
  <si>
    <t>This program operates along with PACE. A care coordinator provides monthly or as-needed home visits and telephone support for enrollees. The program includes chronic disease self-management education, individualized care plans, referrals to community resources, and minor home modifications.</t>
  </si>
  <si>
    <t>No statistically significant findings</t>
  </si>
  <si>
    <t>Increase in ED visits. Most survey participants report satisifaction with the program, improved health as a result of care coordination</t>
  </si>
  <si>
    <t>Increasing patient and system value with community based palliative care</t>
  </si>
  <si>
    <t xml:space="preserve">Hospice and Pallative care, </t>
  </si>
  <si>
    <t>Four Seasons Compassion for Life enrolled patients with life-limiting illness in the CPC program and provided them with a continuum of services that addressed participants’ needs and integrated their care. Four Seasons also sought to change the behavior of participants and physicians by educating participants and their families, providers, and communities about palliative care.</t>
  </si>
  <si>
    <t>This analysis suggests that the intervention did not reduce Medicare spending among patients near the end of life in Henderson County. Total expenditures were higher for the treatment group than for the comparison group due to higher hospice and SNF spending</t>
  </si>
  <si>
    <t xml:space="preserve"> estimates do suggest there might have been a modest improvement in patients’ experience among patients near the end of life in Henderson County</t>
  </si>
  <si>
    <t>Independence at Home</t>
  </si>
  <si>
    <t xml:space="preserve">MA, NC, OR, DY, DE, TX, OH, FL, PA, VA, MI </t>
  </si>
  <si>
    <t>CMMI will work with medical practices to test the effectiveness of delivering comprehensive primary care services at home and if doing so improves care for Medicare beneficiaries with multiple chronic conditions. Additionally, the Demonstration will reward health care providers that provide high quality care while reducing costs.</t>
  </si>
  <si>
    <t>Fifth year</t>
  </si>
  <si>
    <t>Insignificant reduction in total Medicare expenditures</t>
  </si>
  <si>
    <t xml:space="preserve">Effect on performance was inconclusive. No evidence of changes in potentially avoidable outpatient ED visits. </t>
  </si>
  <si>
    <t>Initiative to Reduce Avoidable Hospitalizations Among NF Residents: Phase 2</t>
  </si>
  <si>
    <t>Enhanced Care and Coordination Providers</t>
  </si>
  <si>
    <t>AL, NV, CO, IN, MO, NY, PA</t>
  </si>
  <si>
    <t>The intent of the new payment model under the second phase of the Initiative is to reduce potentially avoidable hospitalizations by funding higher-intensity treatment services for residents who may otherwise be hospitalized upon an acute change in condition for any of the six conditions listed above. Improving the capacity of LTC facilities to treat common medical conditions as effectively as possible in-house, as appropriate, has the potential to improve the residents’ care experience at lower cost than a hospital admission. The model also includes payments to practitioners (i.e., physicians, nurse practitioners and physician assistants) at levels similar to the payments they would receive for treating beneficiaries in a hospital.</t>
  </si>
  <si>
    <t>Utilization and expenditure increases in NV, MO, NY, PA; reduced utilization in AL; reudced utilization and expenditures in IN</t>
  </si>
  <si>
    <t>Mixed results</t>
  </si>
  <si>
    <t>Initiative to Reduce Avoidable Hospitalizations Among Nursing Facility Residents</t>
  </si>
  <si>
    <t>AL, NE, NV, IN, MO, NY, PA</t>
  </si>
  <si>
    <t>CMS supported organizations that each partnered with a group of LTC facilities to implement evidence-based clinical and educational interventions that both improved care and lowered costs. The initiative was focused on long-stay LTC facility residents who were enrolled in both the Medicare and Medicaid programs, with the goal of reducing potentially avoidable inpatient hospitalizations.</t>
  </si>
  <si>
    <t>we estimated a 21 percent probability that the Initiative was cost-saving</t>
  </si>
  <si>
    <t>not statistically significant</t>
  </si>
  <si>
    <t>Integrated inpatient/outpatient care for patients at high risk of hospitalization</t>
  </si>
  <si>
    <t>Medical center, community health centers</t>
  </si>
  <si>
    <t xml:space="preserve">The University of Chicago tested a model of care delivery that emphasized the importance of an ongoing doctor-patient relationship. The project used multidisciplinary teams (RNs, LPNs, SWs, medical assistants led by comprehensive care physicians) to provide consistent care </t>
  </si>
  <si>
    <t>No statistically significant impact due to small sample size</t>
  </si>
  <si>
    <t>Integrated model of individualized ambulatory care for low income children and adults</t>
  </si>
  <si>
    <t>Colorado</t>
  </si>
  <si>
    <t>The goal of the project is for Denver Health to transform its primary care delivery system to provide individualized care to more effectively meet its patients' medical, behavioral and social needs. This model provides team-based care, coordinates care across health settings and offers self-care support between visits enabled by health information technology (HIT) and team-based patient navigators who reach out to patients in a variety of ways. It also integrates physical and behavioral health services in collaboration with the Mental Health Center of Denver (MHCD) in existing primary care settings and in newly created high-risk clinics for the most complex patients.</t>
  </si>
  <si>
    <t xml:space="preserve">Indeterminate effect on spending </t>
  </si>
  <si>
    <t xml:space="preserve">Indeterminate effect on quality of care outcomes </t>
  </si>
  <si>
    <t>Integrating clinical pharmacy services in safety-net clinics</t>
  </si>
  <si>
    <t>pharmacists, pharmacy residents, and pharmacy technicians</t>
  </si>
  <si>
    <t xml:space="preserve">
The USC innovation leveraged novel clinical protocols to provide medication and disease management services at AltaMed safety net clinics in Los Angeles and Orange Counties; these services included comprehensive medication management, medication reconciliation, medication access assistance, patient counseling, drug education, provider education services, and preventive care. The goal of providing these services was to achieve cost savings through improved medication use and quality of patient care. </t>
  </si>
  <si>
    <t>There was a statistically significant overall decrease in the rate of patients with uncontrolled LDL and limited evidence of effects on Hemoglobin A1c control</t>
  </si>
  <si>
    <t>Intensive outpatient care program</t>
  </si>
  <si>
    <t>Medical Groups</t>
  </si>
  <si>
    <t>Arizona, California, Idaho, Nevada, and Washington</t>
  </si>
  <si>
    <t>The Pacific Business Group on Health received its award to partner with provider groups in Arizona, California and Washington for the Intensive Outpatient Care Program (IOCP). Care managers embedded in primary care practices provide psychosocial and medical support for 27,000 predicted high-risk patients with chronic illness. The program aims to improve patient experience and clinical outcomes, reduce avoidable emergency room visits and hospitalizations, and spread best practices across a wide network of partners and, ultimately, other providers.</t>
  </si>
  <si>
    <t>No conclusion</t>
  </si>
  <si>
    <t xml:space="preserve">No conclusion </t>
  </si>
  <si>
    <t>International Pricing Index (IPI) Model</t>
  </si>
  <si>
    <t>Under development</t>
  </si>
  <si>
    <t>physician practices and hospital outpatient departments (HOPDs) that furnish the model’s included drugs in the selected model geographic areas</t>
  </si>
  <si>
    <t xml:space="preserve">CMS seeks input through this ANPRM on an IPI Model that would aim to preserve or enhance quality of care for beneficiaries while reducing expenditures for Medicare Part B drugs to more closely reflect international comparator countries. The IPI Model would test whether increasing competition for private-sector vendors to negotiate drug prices, and aligning Medicare payments for drugs with prices that are paid in foreign countries, improves beneficiary access and quality of care while reducing expenditures. </t>
  </si>
  <si>
    <t>Johns Hopkins Community Health Partnership (J-CHiP)</t>
  </si>
  <si>
    <t>Hospital, skilled nursing facility, clinic</t>
  </si>
  <si>
    <t>This program aims to increase access to services for high-risk adults (those with chronic illness, mental illness, and/or SUD) in East Baltimore, focusing on on improving care coordination, emphasizing early risk screening, provider communication, and post-discharge support and home care services.</t>
  </si>
  <si>
    <t>Reduction in total quarterly and 90-day cost of care</t>
  </si>
  <si>
    <t>Increase in 90-day hospitalizations and 30-day readmissions. Decrease in 90-day ED visits. Decrease in practitioner follow-up visits post-discharge. Decrease in avoidable hospitalizations. Most respondents report trust in providers.</t>
  </si>
  <si>
    <t>Kidney Care Choices</t>
  </si>
  <si>
    <t>Reviewing applications</t>
  </si>
  <si>
    <t>Nephrology practices and nephrologists</t>
  </si>
  <si>
    <t>KCC will build upon the exisiting Comprehensive End Stage Renal Disease  (ESRD) Care (CEC) Model structure by adding financial incentives for health care providers to manage care for beneficiaries with stage 4 and 5 chronic kidney disease (CKD) and ESRD and to delay the onset of dialysis and to incentivize kidney transplantation. The model consists of the Kidney Care First (KCF) option and the Comprehensive Kidney Care Contracting (CKCC) option, each with different payment methodologies.</t>
  </si>
  <si>
    <t>Leveraging Information Technology to Guide High Tech High Touch Care (LIGHT2)”</t>
  </si>
  <si>
    <t>Health IT</t>
  </si>
  <si>
    <t>Missouri</t>
  </si>
  <si>
    <t>The Curators of the University of Missouri, an integrated health system in Columbia, Missouri, was awarded a grant to support the Leveraging Information Technology to Guide High Tech, High Touch Care innovation. This project used a combination of advanced information technology and comprehensive health care coordination to improve primary health care outcomes.</t>
  </si>
  <si>
    <t>Increase in spending</t>
  </si>
  <si>
    <t>Increased inpatient admissions, decreased ED visits, mixed health outcomes</t>
  </si>
  <si>
    <t>Living Rite-A Disruptive Solution for Management of Chronic Care Disease (a focus on adults with disabilities: intellectual and developmental diagnoses and dementia patients with 2 or more chronic conditions)"</t>
  </si>
  <si>
    <t>Disability, medical homes,  care coordinators</t>
  </si>
  <si>
    <t xml:space="preserve">Rhode Island </t>
  </si>
  <si>
    <t>The goals of this project were to improve care for adults with intellectual and developmental disabilities and/or Alzheimer's disease, train clients how to best manage chronic diseases, and provide career development options to clients. The project also aimed to certify various health professional students as qualified interdisciplinary team members.</t>
  </si>
  <si>
    <t>Increase in total quarterly cost of care</t>
  </si>
  <si>
    <t xml:space="preserve">Participants benefit from health promotion aspect of model. Analysis limited due to small sample size, short performance period, and lack of Medicaid claims data. </t>
  </si>
  <si>
    <t>Maryland All-Payer Model</t>
  </si>
  <si>
    <t>MD</t>
  </si>
  <si>
    <t xml:space="preserve">Maryland’s all-payer rate setting system for hospital services presents an opportunity for Maryland and CMS to test whether an all-payer system for hospital payment that is accountable for the total hospital cost of care on a per capita basis is an effective model for advancing better care, better health and reduced costs. Under the new model, Maryland hospitals have committed to achieving significant quality improvements, including reductions in Maryland hospitals’ 30-day hospital readmissions rate and hospital acquired conditions rate. Maryland has agreed to limit all-payer per capita hospital growth, including inpatient and outpatient care, to 3.58 percent. Maryland has also agreed to limit annual Medicare per capita hospital cost growth to a rate lower than the national annual per capita growth rate per year for 2015-2018. </t>
  </si>
  <si>
    <t>Decline in Medicare and hospital expenditures, driven by reduction in outpatient department service expenditures</t>
  </si>
  <si>
    <t>Reduced hospital administions and potentially avoidable hospitalizations, but no impact on ED visits or unplanned readmissions.</t>
  </si>
  <si>
    <t>Maryland Total Cost of Care Model</t>
  </si>
  <si>
    <t>Accepting applications</t>
  </si>
  <si>
    <t>non-hospital health care providers</t>
  </si>
  <si>
    <t>CMS and the state of Maryland are partnering to test the Maryland Total Cost of Care (TCOC) Model, which sets a per capita limit on Medicare total cost of care in Maryland. The TCOC Model is the first Center for Medicare and Medicaid Innovation (Innovation Center) model to hold a state fully at risk for the total cost of care for Medicare beneficiaries. The TCOC Model builds upon the Innovation Center’s current Maryland All-Payer Model, which had set a limit on per capita hospital expenditures in the State. The Maryland TCOC Model sets the state of Maryland on course to save Medicare over $1 billion by the end of 2023, and the Model creates new opportunities for a range of non-hospital health care providers to participate in this test to limit Medicare spending across an entire state.</t>
  </si>
  <si>
    <t>Maximum Health at Minimal Cost: A Community- Based Medical Home Model for the Non-Elderly Disabled</t>
  </si>
  <si>
    <t>Advanced Primary Care</t>
  </si>
  <si>
    <t>Minnesota</t>
  </si>
  <si>
    <t>This intervention tests a community-based medical home model for adults with diabetes and complex health conditions (especially neurological conditions). It coordinates access to primary and speciality care, increase adherence to care, and promote self-management of health among patients.</t>
  </si>
  <si>
    <t>We find a non-significant decrease in the total cost of care, estimated using Medicare claims, and a
statistically significant decrease in the total cost of care, estimated using Medicaid claims.</t>
  </si>
  <si>
    <t>no clear trends for hospitalizations or ED visits for Medicaid or Medicare
beneficiaries. Most beneficiaries report satisfaction, timeliness of service delivery, partial health improvement, and avoidance of medical emergencies. Small size: We identified 158 unique beneficiaries, and further limited this number by enrollmentdata and Medicare coverage, yielding an analytic sample of 66 beneficiaries.</t>
  </si>
  <si>
    <t>MedExpert International: Quality Medical Management System (QMMS)</t>
  </si>
  <si>
    <t xml:space="preserve">Patients </t>
  </si>
  <si>
    <t>California, Idaho, Texas, Washington</t>
  </si>
  <si>
    <t>The MedExpert innovation is designed to improve quality of care and reduce expenditures by providing beneficiaries with up-to-date information on treatment options and clinical guidelines, designed to prevent unnecessary utilization of health services such as emergency room visits and outpatient care</t>
  </si>
  <si>
    <t>Across the ten quarters after program enrollment, there was a statistically significant increase of $9,884,394 in physician and ancillary service expenditures among 87,317 participants relative to controls. This corresponds to an increase of $211 per beneficiary</t>
  </si>
  <si>
    <t xml:space="preserve"> For the MA cohort, cumulative decreases in inpatient readmissions were statistically significant</t>
  </si>
  <si>
    <t>Medicare Acute Care Episode (ACE)</t>
  </si>
  <si>
    <t>Acute care, orthopedic and cardiovascular procedures</t>
  </si>
  <si>
    <t>TX, OK, NM, CO</t>
  </si>
  <si>
    <t>Global payment for a single episode of care. The episode of care was defined as the bundle of Part A and Part B services provided to FFS beneficiaires during an inpatient stay for included MS-DRGs, specifically certain cardiac and orthopedic services</t>
  </si>
  <si>
    <t>3 sites expereinced internal cost savings on both cardiovascular and orthopedic procedures</t>
  </si>
  <si>
    <t>Quality of care was enhanced by standardized of operating processes and materials across all ACE sites</t>
  </si>
  <si>
    <t>Medicare Advantage Value-Based Insurance Design Model</t>
  </si>
  <si>
    <t xml:space="preserve">Medicare Advantage organizations </t>
  </si>
  <si>
    <t>45 states, DC, PR</t>
  </si>
  <si>
    <t>41 to 49 states</t>
  </si>
  <si>
    <t>CMS is testing a broad array of complementary Medicare Advantage (MA) health plan innovations designed to reduce Medicare program expenditures, enhance the quality of care for Medicare beneficiaries, including those with low incomes such as dual-eligibles, and improve the coordination and efficiency of health care service delivery. Overall, the VBID Model contributes to the modernization of MA and tests whether these model components improve health outcomes and lower expenditures for MA enrollees.</t>
  </si>
  <si>
    <t>No singificant cost changes overall, some decreased Part D bids</t>
  </si>
  <si>
    <t>Improved care coordination, no effect on other measures of quality, enrollment, or health outcomes</t>
  </si>
  <si>
    <t>Medicare and CareFirst’s total care and cost improvement program in Maryland</t>
  </si>
  <si>
    <t xml:space="preserve">The TCCI program enhances support for primary care, empowering primary care providers to coordinate care for Medicare benficiaries with multiple morbidities and patients at high risk for chronic illness. Goals of the model include less fragmented health care, reduced avoidable hospitalizations, ER visits, fewer medication interactions, and a decrease in other problems caused by gaps in care. TCCI is estimated to create 36 jobs, which include local care coordinators and program consultants. </t>
  </si>
  <si>
    <t>No overall impacts on spending</t>
  </si>
  <si>
    <t xml:space="preserve"> Outcomes were not statistically or substantively better in any of the four evaluation domains: quality-of-care processes, quality-of-care outcomes, service use, and spending</t>
  </si>
  <si>
    <t>Medicare Care Choices Model (MCCM)</t>
  </si>
  <si>
    <t>Hospices</t>
  </si>
  <si>
    <t>Primarily NE and MW</t>
  </si>
  <si>
    <t>The Medicare Care Choices Model (MCCM) offers eligible Medicare
beneficiaries the option to receive supportive services from participating
hospices while continuing to receive treatment for their terminal condition
through fee-for-service Medicare. Participating hospices receive $400 per
beneficiary per month.</t>
  </si>
  <si>
    <t>MCCM led to substantial reductions in total Medicare spending for deceased MCCM enrollees during the first 3 years of the model. Total Medicare expenditures
decreased by 25%, generating $26 million in gross savings and $21.5 million in net savings, largely by reducing inpatient care through increased use of  Medicare hospice benefit (MHB) 
 $5,967 net savings per decedent driven by reduced inpatient spending in the last 7-
180 days of life for the 3,603 MCCM enrollees who died before September 30, 2019.</t>
  </si>
  <si>
    <t>Caregivers of MCCM enrollees who transitioned to MHB reported highly positive experiences in the model. Caregivers of enrollees who did not transition to MHB held less positive views of MCCM. 
96% of caregivers indicated that they would
definitely or probably recommend the model to
friends and family members.</t>
  </si>
  <si>
    <t>Medicare Coordinated Care</t>
  </si>
  <si>
    <t xml:space="preserve">Coordinated care service providers (hospitals, hospice, assisted living, etc.) </t>
  </si>
  <si>
    <t xml:space="preserve">SD, IL, VA, MD, DC, PA, AZ, NY, IA, ME, NJ, MO, TN </t>
  </si>
  <si>
    <t xml:space="preserve">CMS selected 15 sites for a pilot project to test whether providing coordinated care services to Medicare fee-for-service beneficiaries with complex chronic conditions could yield better patient outcomes without increasing program costs. </t>
  </si>
  <si>
    <t xml:space="preserve">Reduced expenditures from 2002-2010, little effect after that. </t>
  </si>
  <si>
    <t>Reduced hospitalizations from 2002-2010, little effect after that.</t>
  </si>
  <si>
    <t>Medicare Diabetes Prevention Program (MDPP) Expanded Model</t>
  </si>
  <si>
    <t xml:space="preserve">MDPP Suppliers </t>
  </si>
  <si>
    <t>The Medicare Diabetes Prevention Program expanded model is a structured intervention with the goal of preventing type 2 diabetes in individuals with an indication of prediabetes. The clinical intervention consists of a minimum of 16 intensive “core” sessions of a Centers for Disease Control and Prevention (CDC) approved curriculum furnished over six months in a group-based, classroom-style setting that provides practical training in long-term dietary change, increased physical activity, and behavior change strategies for weight control. After the completing the core sessions, less intensive follow-up meetings furnished monthly help ensure that the participants maintain healthy behaviors. The primary goal of the expanded model is at least 5 percent weight loss by participants.</t>
  </si>
  <si>
    <t>Medicare Health Care Quality</t>
  </si>
  <si>
    <t>Physician groups, integrated delviery systems, regional health care consortia</t>
  </si>
  <si>
    <r>
      <t xml:space="preserve">CMS intends to use this demonstration to identify, develop, test, and disseminate major and multi-faceted improvements to the health care system. Projects approved under this demonstration will be expected to achieve significant improvements in the six aims for improvement in quality identified by the Institute of Medicine in its </t>
    </r>
    <r>
      <rPr>
        <i/>
        <sz val="11"/>
        <color theme="1"/>
        <rFont val="Calibri"/>
        <family val="2"/>
        <scheme val="minor"/>
      </rPr>
      <t xml:space="preserve">Crossing the Quality Chasm. </t>
    </r>
  </si>
  <si>
    <t>Medicare Hospital Gainsharing</t>
  </si>
  <si>
    <t>Medical centers</t>
  </si>
  <si>
    <t>WV, NY</t>
  </si>
  <si>
    <t>Demonstration was meant to determine if gainsharing aligns incentives between hospitals and physicians in order to improve the quality and efficiency of inpatient care, and to improve hospital operational and financial performance</t>
  </si>
  <si>
    <t xml:space="preserve">Both sites generated internal savings to provide participating physicians with incentive payments. </t>
  </si>
  <si>
    <t>Medicare Imaging Demonstration</t>
  </si>
  <si>
    <t>Examples of conveners included, but are not limited to, physician groups, integrated health care delivery systems, independent practice associations, radiology benefit managers, health plans, information technology vendors, medical specialty societies, and collaborations among the above parties.</t>
  </si>
  <si>
    <t>ME, MA, MI, NY, NJ, PA, TX, WI</t>
  </si>
  <si>
    <t>The goal of the demonstration was to collect data regarding physician use of advanced diagnostic imaging services to determine the appropriateness of services in relation to medical specialty guidelines. The demonstration tested whether the use of decision support systems (DSS) could improve quality of care and reduce unnecessary radiation exposure by promoting appropriate ordering of advanced imaging services.</t>
  </si>
  <si>
    <t>Not metioned/evaluated</t>
  </si>
  <si>
    <t>we found no evidence that the intervention led to anything beyond a small reduction—if any reduction at all—in advanced imaging volume. Furthermore, since more than half of the ordered advanced images did not link with guidelines, in these instances, appropriateness feedback was not available to share with ordering clinicians</t>
  </si>
  <si>
    <t>Medicare Intravenous Immune Globulin (IVIG) Demonstration</t>
  </si>
  <si>
    <t>Beneficiaries recieving IVIG benefits</t>
  </si>
  <si>
    <t xml:space="preserve">Medicare pays a bundled payment for supplies and related nursing services to administer IVIG medication in a beneficary's home. </t>
  </si>
  <si>
    <t>there is insufficient
demonstration claims experience available to date for analysis, thus, analytic findings concerning
the demonstration’s impact on Medicare beneficiary access to items and services needed for the
in-home administration of IVIG are not included in the interim report</t>
  </si>
  <si>
    <t>there is insufficient demonstration claims experience available to date for analysis, thus, analytic findings concerning the demonstration’s impact on Medicare beneficiary access to items and services needed for the in-home administration of IVIG are not included in the interim report</t>
  </si>
  <si>
    <t>Michigan pathways to better health</t>
  </si>
  <si>
    <t xml:space="preserve"> community health workers</t>
  </si>
  <si>
    <t>The Pathways community hub model is a new program modeled after the Community Health Access Project (CHAP) in Ohio. MPHI adapted the model for adults with two or more chronic diseases to address social determinants of health. Pathways was implemented in three sites in Michigan, mainly the
counties of Ingham, Muskegon, and Saginaw. The Pathways model (i.e., MiPathways) establishes networks of collaborating community agencies and outreach to Pathways’ enrollees</t>
  </si>
  <si>
    <t>The MPHI innovation showed increased spending but had no effect on inpatient stays, readmission rates, or ED visits for innovation participants.</t>
  </si>
  <si>
    <t xml:space="preserve">There was no effect of the innovation on inpatient admissions or ED visits for
Medicare beneficiaries enrolled in the MPHI program. Overall, the data suggest that the innovation may be somewhat affecting
health outcomes in the long run, but the rates have fluctuated over time. </t>
  </si>
  <si>
    <t>Michigan Surgical and Health Optimization Program (MSHOP): A Multiplex Patient Risk Stratification and Intervention Program</t>
  </si>
  <si>
    <t>Surgical practices</t>
  </si>
  <si>
    <t>The Regents of the University of Michigan implemented the MSHOP to assess participants’ risk for postoperative complications after a major abdominal surgery (such as such as deep wound infection, myocardial infarction, pneumonia, and deep venous thrombosis) and, if medically appropriate, to engage them in a prehabilitation program that would potentially improve their surgical outcomes.</t>
  </si>
  <si>
    <t>Due to the problems, the analysis cannot be used to make inferences about the impact of this program on Medicare costs or other program outcomes</t>
  </si>
  <si>
    <t>Evaluation challenges prevented assessing the impact of the MSHOP on the core outcomes.</t>
  </si>
  <si>
    <t>Million Hearts</t>
  </si>
  <si>
    <t>Cardiovascular patients</t>
  </si>
  <si>
    <t>The Million Hearts™ initiative will focus, coordinate, and enhance cardiovascular disease prevention activities across the public and private sectors and will scale-up proven clinical and community strategies to prevent heart attack and stroke across the nation. No longer operated under CMS Innovation Center Authority, nor funded by Section 1115A of the Social Security Act</t>
  </si>
  <si>
    <t>Million Hearts®: Cardiovascular Disease Risk Reduction Model</t>
  </si>
  <si>
    <t>Health care organizations</t>
  </si>
  <si>
    <t>47 states, Puerto Rico and the District of Columbia</t>
  </si>
  <si>
    <t>The Million Hearts® Cardiovascular Disease (CVD) Risk Reduction Model is a randomized controlled trial that seeks to bridge a gap in cardiovascular care by providing targeted incentives for health care practitioners to engage in beneficiary CVD risk calculation and population-level risk management. Instead of focusing on the individual components of risk, participating organizations will engage in risk stratification across a beneficiary panel to identify those at highest risk for atherosclerotic cardiovascular disease (ASCVD).</t>
  </si>
  <si>
    <t>No measurable effect on Medicare spending. Average expenditures were similar for intervention and control groups</t>
  </si>
  <si>
    <t>Reductions in blood pressure and cholesterol in the intervention group</t>
  </si>
  <si>
    <t>Mobility: the 6th vital sign</t>
  </si>
  <si>
    <t>The mobility program aimed to reduce the rate of hospital-acquired pressure ulcers, decrease the rate of ventilator-acquired pneumonia, reduce deconditioning during hospitalization, reduce Medicare spending, and increase patient satisfaction. Patients who were at risk for developing pressure ulcers while hospitalized were the main target of the intervention, which was implemented in several units of the Henry Ford Hospital, an 800-bed tertiary care hospital.</t>
  </si>
  <si>
    <t>We see no evidence that the intervention was associated with changes in ...total Medicare episode spending. However, we caution
that without a comparison or baseline group we are unable to determine whether the program was changing patient outcomes.</t>
  </si>
  <si>
    <t>We see no evidence that the intervention was associated with changes in the rate of inpatient
readmissions or ED visits.... However, we caution that without a comparison or baseline group we are unable to determine whether the program was
changing patient outcomes.</t>
  </si>
  <si>
    <t>Most Favored Nation Model</t>
  </si>
  <si>
    <t>Medicare providers and suppliers that receive separate Part B FFS payment for drugs included in the model</t>
  </si>
  <si>
    <t>Medicare will pay for drugs using a blending formula that includes the lowest adjusted international price (MFN price). The MFN price will be phased in over the first four years of the model and will be at 100% for the final three years of the model. The formula will not allow model payment amount for a drug to exceed the manufacturers' average sales price in order to lower what beneficiaries pay.
On December 28, 2020, the U.S. District Court for the Northern District of California issued a nationwide preliminary injunction in Biotechnology Innovation Organization v. Azar, No. 3:20-cv-08603, which preliminarily enjoins HHS from implementing the Most Favored Nation Rule. Given this preliminary injunction, the MFN Model was not implemented on January 1, 2021 and will not be implemented without further rulemaking.</t>
  </si>
  <si>
    <t>Multi-community partnership between TransforMED, hospitals in the VHA system and a technology/data analytics company to support transformation to PCMH of practices connected with the hospitals and development of “Medical Neighborhood</t>
  </si>
  <si>
    <t xml:space="preserve">Primary care practices, health systems  </t>
  </si>
  <si>
    <t>Alabama, Connecticut, Florida, Georgia, Indiana, Kansas, Kentucky, Maryland, Massachusetts, Michigan, Mississippi, Nebraska, North Carolina, Oklahoma, South Dakota, West Virginia</t>
  </si>
  <si>
    <t xml:space="preserve"> TransforMED received a $20.8 million Health Care Innovation Award
(HCIA) to implement a patient-centered medical neighborhood (PCMN) program. The PCMN intervention was focused almost exclusively on implementing health information technology (IT), with TransforMED providing software and technical assistance to 90 primary care practices recruited by 15 participating health systems in 15 states. TransforMED aimed to reduce the cost of health care for Medicaid and Medicare fee-for-service (FFS) patients by 4 percent (or $49.5 million) by the end of the award. </t>
  </si>
  <si>
    <t>The intervention did not have statistically significant favorable impacts in the spending domains.</t>
  </si>
  <si>
    <t>The intervention did not have
statistically significant favorable impacts in the quality-of-care processes</t>
  </si>
  <si>
    <t>Multi-Payer Advanced Primary Care Practice</t>
  </si>
  <si>
    <t xml:space="preserve">State </t>
  </si>
  <si>
    <t>ME, MI, MN, NY, NC, PA, RI, VT</t>
  </si>
  <si>
    <t>CMS participated in multi-payer reform initiatives that were conducted by states to make advanced primary care practices more broadly available. The demonstration evaluated whether advanced primary care practice reduced unjustified utilization and expenditures, improved the safety, effectiveness, timeliness, and efficiency of health care.</t>
  </si>
  <si>
    <t>Limited impact on expenditures</t>
  </si>
  <si>
    <t>Limited impacts on quality of care, access, coordination, etc.</t>
  </si>
  <si>
    <t>Quality declined</t>
  </si>
  <si>
    <t>MyHealth Team: regional team-based and closed-loop control innovation model for ambulatory chronic care delivery</t>
  </si>
  <si>
    <t>Tennessee</t>
  </si>
  <si>
    <t>The Vanderbilt University Medical Center’s (VUMC) program used care coordinators to improve chronic disease management, coordination of services, and transition management for patients with one or more targeted conditions. Nurses were deployed as transition care coordinators (TCCs) in inpatient settings and as outpatient care coordinators (OCCs) in outpatient settings. The program took place at Vanderbilt’s main campus in Nashville, TN, as well as at Williamson Medical Center in Franklin and Maury Regional Medical Center in Columbia</t>
  </si>
  <si>
    <t>No observed impact of the TCC or OCC program on cost</t>
  </si>
  <si>
    <t>Patients reported that interactions with OCCs led to improvements in blood pressure and glycemic control.</t>
  </si>
  <si>
    <t>Next Generation Accountable Care Organization (ACO)</t>
  </si>
  <si>
    <t xml:space="preserve">ACOs experienced in coordinating care </t>
  </si>
  <si>
    <t>33 states and DC. East Coast, Midwest, West, FL, TX</t>
  </si>
  <si>
    <t xml:space="preserve">Focus on care coordination, especially for those with chronic conditions. </t>
  </si>
  <si>
    <t>Reduction in gross spending, increased net spending</t>
  </si>
  <si>
    <t>Quality of care remained constant.</t>
  </si>
  <si>
    <t>Nursing Home Value-Based Purchasing (VBP)</t>
  </si>
  <si>
    <t>Nursing homes</t>
  </si>
  <si>
    <t>AZ, NY, WI</t>
  </si>
  <si>
    <t xml:space="preserve">Pay-for-performance initiative to improve the quality of care furnished to all Medicare beneficiaries in nursing homes. </t>
  </si>
  <si>
    <t>Savings in AZ (Year 1) and WI (Years 1 and 2). No savings in NY throughout the demonstration</t>
  </si>
  <si>
    <t>Oncology Care</t>
  </si>
  <si>
    <t>Oncology practices</t>
  </si>
  <si>
    <t xml:space="preserve">OCM is based on six-month episodes of cancer care. It tests whether financial incentives can improve quality and reduce Medicare spending. </t>
  </si>
  <si>
    <t xml:space="preserve">Minimal impact on savings. Net losses during performance periods 1 and 2. </t>
  </si>
  <si>
    <t>Optimizing the Medical Neighborhood: Transforming Care Coordination through the North Carolina Community Pharmacy Enhanced Services Network</t>
  </si>
  <si>
    <t>Participating community pharmacies</t>
  </si>
  <si>
    <t>Just Part D</t>
  </si>
  <si>
    <t xml:space="preserve">The CPESN is an innovative service delivery and payment model that integrates medication management strategies into the interactions between patients and community pharmacists while giving pharmacists the incentive to address gaps in care. This project was terminated before completion. </t>
  </si>
  <si>
    <t>The CCNC pharmacy intervention did not result in discernible effects on total Medicare expenditures, inpatient hospital stays, or ED visits over a 24-month follow-up period.</t>
  </si>
  <si>
    <t>CCNC appeared to reduce participants'
use of primary care visits slightly,
suggesting that the intervention’s
enhanced pharmacy services may
have enabled patients to avoid some
primary care visits.</t>
  </si>
  <si>
    <t>Part D Enhanced Medication Therapy Management Model</t>
  </si>
  <si>
    <t>Part D PDP sponsors representing PBPs</t>
  </si>
  <si>
    <t>VA, FL, LA, IO, MN, MT, NE, ND, SD, WY, AZ</t>
  </si>
  <si>
    <t xml:space="preserve">Stand-alone basic PDPs in selected regions will aim to improve quality of care while reducing costs through innovative MTM prgorams. Included in these efforts are optimizing medication use, improving care coordination, and strengthening health care system linkages. </t>
  </si>
  <si>
    <t>Modelwide, there were no impacts on gross or net Medicare expenditures in the first two years</t>
  </si>
  <si>
    <t>Not evaluated/mentioned</t>
  </si>
  <si>
    <t>1.9 million</t>
  </si>
  <si>
    <t>Part D Payment Modernization Model</t>
  </si>
  <si>
    <t>PDPs and MA-PDPs</t>
  </si>
  <si>
    <t>Targeted focus on lower Part D prescription drug spending and improved quality and access to Part D covered drugs. Uses a retrospective spending target benchmark to test the impact of two-sided risk on federal resinsurance subsidy spending. The new Part D Rewards and Incentive Programs allows CMS to test how plans can better improve health outcomes, medication adherence, and the efficient use of health care resources for enrollees. 
The Part D Payment Modernization Model will conclude on December 31, 2021, and CMS will not proceed with testing the Model in CY 2022 – CY 2024.</t>
  </si>
  <si>
    <t>Part D Senior Savings Model</t>
  </si>
  <si>
    <t>CMS is testing a change to the Medicare Coverage Gap Discount Program to allow Part D sponsors to offer a Part D benefit design that includes predictable copays in the deductible, initial coverage, and coverage gap phases by offerin ga supplemental benefits that apply after manufacturers provide a discounted price for a broad range of insulins included in the Model. The goals of the Model are to reduce Medicare expenditures, improve quality of care, and provide beneficiaries with additional Part D plan choices.</t>
  </si>
  <si>
    <t>Partnership for Patients (PfP)</t>
  </si>
  <si>
    <t>acute care hospitals, Hospital Engagement Networks (HENs)</t>
  </si>
  <si>
    <t xml:space="preserve">nationwide </t>
  </si>
  <si>
    <t>The Partnership for Patients initiative is a public-private partnership working to improve the quality, safety and affordability of health care for all Americans. Physicians, nurses, hospitals, employers, patients and their advocates, and the federal and State governments have joined together to form the Partnership for Patients.</t>
  </si>
  <si>
    <t xml:space="preserve">Harm reductions nationally have resulted in cost savings of $8.67 billion
to  $11.98 billion over a period of about 3 to 4 years </t>
  </si>
  <si>
    <t xml:space="preserve">Overall, national rates of inpatient harm and Medicare fee-for-service (FFS) readmissions have markedly improved since the start of the campaign. However, the environment of concurrent activity toward harm reduction complicated attribution to any one initiative. </t>
  </si>
  <si>
    <t>Pathways to better health through a new health care workforce and community</t>
  </si>
  <si>
    <t>District of Columbia, New Mexico, Pennsylvania</t>
  </si>
  <si>
    <t>Joslin Diabetes Center implemented a diabetes education program called On the Road (OTR). OTR used trained lay and clinical community health advocates (CHAs) to deliver community classes focused on diabetes management and prevention, nutrition, and exercise, and offered community-based screenings</t>
  </si>
  <si>
    <t>Most participants made an appointment with a health care provider as a result of the program.</t>
  </si>
  <si>
    <t>Patient Navigation Center</t>
  </si>
  <si>
    <t>The Asian Americans for Community Improvement (AACI) FQHC implemented this intiative to implement a patient navigation center. All primary care and behavioral health patients were eligible to receive patient navigator services.</t>
  </si>
  <si>
    <t>Decrease in spending, implications for long-term savings</t>
  </si>
  <si>
    <t>Participants report better care, lower number of unplanned readmissions, but not statistically significant. Health outcomes data unavailable</t>
  </si>
  <si>
    <t>Patient-centered medical home for mental health services in Wyoming and Montana</t>
  </si>
  <si>
    <t>Behavioral health specialists, care navigators</t>
  </si>
  <si>
    <t>Montana, Washington, Wyoming</t>
  </si>
  <si>
    <t>HealthLinkNow, Inc (HLN) is an organization of behavioral health providers delivering remote health care services. HLN partnered with local provider groups and health networks in Montana and Wyoming to provide a patient-centered medical home program with MH/SUD services in rural areas and lack of providers.</t>
  </si>
  <si>
    <t>No statistically significant impact on total expendtiures</t>
  </si>
  <si>
    <t xml:space="preserve">No statistically significant impact on hospitalizations or ED visits. Increased access to MH services in rural areas. Improved mental and physical health </t>
  </si>
  <si>
    <t>Patient-centric electronic environment for improving acute care performance</t>
  </si>
  <si>
    <t>Massachusetts, Minnesota, New York, Oklahoma</t>
  </si>
  <si>
    <t>The Mayo Clinic received an HCIA to further develop the Patient Centered Cloud-based Electronic System, Ambient Warning and Response Evaluation (AWARE). AWARE is an electronic interface used in ICUs that displays dynamic, real-time data for all patients in the unit. The layout and presentation of data in AWARE were designed to improve clinicians’ ability to prioritize and respond to patients’ needs within the unit. AWARE was mapped to myriad other hospital information systems (e.g., laboratory results, vital signs, orders, EMR), and the information assembled for each patient was organized by organ system, with the highest-priority information most prominently displayed. The goals of the AWARE program were to reduce physician cognitive overload and resulting errors, improve communication between nurses at shift hand-offs, and improve patient health outcomes.</t>
  </si>
  <si>
    <t>A $1,092 reduction in median Medicare episode spending (p&lt;0.01) relative to the comparison group. However, the difference in average Medicare spending was not statistically significant</t>
  </si>
  <si>
    <t xml:space="preserve">Overall, the survey results were generally positive for patients served by this program compared with
their peers in the comparison group. </t>
  </si>
  <si>
    <t>Pennsylvania Rural Health Model</t>
  </si>
  <si>
    <t>Rural hospitals and payers</t>
  </si>
  <si>
    <t>PA</t>
  </si>
  <si>
    <t>Tests whether care delivery transformation combined with hospital global budget increases increases rural Pennsylvanians' access to high quality care and improves health while also minimizing expenditure growth across payers. It also aims to bolster the financial viability of rural PA hospitals.</t>
  </si>
  <si>
    <t>Person Centered Care Connections</t>
  </si>
  <si>
    <t>Skilled nursing facilities, senior independent housing, and assisted living communities</t>
  </si>
  <si>
    <t>The PCCC program sought to improve the care and safety of SNF patients who transitioned to the community. It represented an expansion of an earlier CareChoice pilot program, the RCCC. The program aimed to reduce hospital readmissions during the 90 days following discharge from a SNF to home and thereby reduce total costs of care.</t>
  </si>
  <si>
    <t>The PCCC program did not have a discernible impact on Medicare spending or hospital readmissions during the first two years after enrollment</t>
  </si>
  <si>
    <t xml:space="preserve">The intervention was associated with a statistically significant estimated 21 percent reduction in ED visits among treatment group beneficiaries relative to the comparison group in the first follow-up year. This effect persisted in the second follow-up year. </t>
  </si>
  <si>
    <t>Pharm2Pharm, a formal hospital pharmacist to community pharmacist collaboration</t>
  </si>
  <si>
    <t>Trained hospital pharmacists and community pharmacists</t>
  </si>
  <si>
    <t>Hawaii</t>
  </si>
  <si>
    <t>The Pharm2Pharm HCIA innovation implemented a formal hospital pharmacist to community pharmacist care coordination model designed to address medication management issues that occur during transitions of care.</t>
  </si>
  <si>
    <t>Because there is no existing payment mechanism to provide reimbursement for inpatient pharmacy services, Pharm2Pharm recently undertook efforts to streamline the process for identifying patients who need MM services using the HHIE and found that, at least for simple cases, this was feasible</t>
  </si>
  <si>
    <t>Pharm2Pharm intervention was associated with statistically significant increases in inpatient admissions, unplanned inpatient admissions, and hospital days for intervention beneficiaries relative to controls. The Pharm2Pharm
intervention was also associated with statistically significant increases in unplanned inpatient
admissions and hospital days.</t>
  </si>
  <si>
    <t>Physician Group Practice Transition</t>
  </si>
  <si>
    <t>Physician groups</t>
  </si>
  <si>
    <t>NE, West, Midwest, South in:
CT, MI, MN, MO, MT, NC, NH, PA, WI</t>
  </si>
  <si>
    <t>Precursor to the Medicare Shared Savings Program. Rewards physicians for efficient care and high quality</t>
  </si>
  <si>
    <t>Four PGPs sharing savings controlled both inpatient and outpatient costs. Six PGPs that did not share in savings had costs that exceeded the targets.</t>
  </si>
  <si>
    <t>General improvement across quality measures</t>
  </si>
  <si>
    <t>Physician Hospital Collaboration</t>
  </si>
  <si>
    <t>NJ</t>
  </si>
  <si>
    <t xml:space="preserve">Examined effects of incentive payments in promoting higher quality, better coordinator care. </t>
  </si>
  <si>
    <t>Minimal impact. Average total episode payments for participating hospitals were higher than that of comparison hospitals</t>
  </si>
  <si>
    <t>Minimal impact on quality indicators. No significant improvements</t>
  </si>
  <si>
    <t>Physicians quick response service</t>
  </si>
  <si>
    <t xml:space="preserve">RNs, NPs, physicians </t>
  </si>
  <si>
    <t xml:space="preserve">Doctors Assisting Seniors at Home (DASH) is an alternative to seeking urgent care in a hospital ED setting for Medicare beneficiaries age 60 and older who are considered frail, would like to remain at home, and live within a 12-mile radius of Santa Barbara, CA. </t>
  </si>
  <si>
    <t>Decrease in hospitalizations and ED visits. Most survey respondents report satisfaction with DASH services</t>
  </si>
  <si>
    <t xml:space="preserve">Pioneer ACO </t>
  </si>
  <si>
    <t>Yes, per OACT</t>
  </si>
  <si>
    <t>ACOs, many part of larger health care systems</t>
  </si>
  <si>
    <t>CA, AZ, MA, MN, MI, NY</t>
  </si>
  <si>
    <t>Pioneer ACOs aimed to improve care through a focus on value and clinical integration. Areas of activity included provider engagement, care management, health information technology, and beneficiary engagement.</t>
  </si>
  <si>
    <t>The Pioneer ACO Model was approved for expansion based on favorable evaluation results on both cost and quality measures for the first two performance years of the Model. 
By the end of the second performance year (2013), 9 of the 32 original Pioneer ACOs announced their intent to leave the model for 2014, with organizations that opted to leave the Pioneer model more likely to be those that did not have shared savings in the prior performance year. By the end of the second performance year, remaining Pioneer ACOs could qualify to receive populationbased payments in the third performance year if the ACO achieved savings of at least 2 percent in
PY1 and met other specific requirements. While 12 of the 23 Pioneer ACOs that participated through PY2 qualified for these population-based payments, only 2 of the 12 decided to move forward with the arrangement. 
by the end of the fifth performance year, 25 of the 32 original Pioneer ACOs continued to function as a Medicare ACO. For 9 of the 25 ACOs that were unwilling to bear financial risk, the MSSP provided the option of upside risk only. For the remaining 16
of 25 ACOs, the Pioneer model and, starting in 2016, the Next Generation model offered the opportunity to assume higher levels of financial risk with the promise of sharing in greater rewards  the ACOs that remained in the Pioneer model through 2016 were the most consistent in earning shared savings and earned the most shared savings compared to those that left the Pioneer model or transitioned to the Next Generation model in 2016
9 or the original 32 participants finished the final year</t>
  </si>
  <si>
    <t>The Pioneer ACO Model was approved for expansion based on favorable evaluation results on both cost and quality measures for the first two performance years of the Model. 
Final evaluation report: Pioneer ACOs experienced improvements in some measures of patient experience and quality of
care. 
Used patient experience survey data, but due to a lack of comparison data, we were unable to
determine whether this improvement in quality over time was specific to ACOs, or if care
was also improving on a broader basis over the same time period</t>
  </si>
  <si>
    <t>Preventing avoidable re-hospitalizations: Post-Acute Care Transition Program (PACT)</t>
  </si>
  <si>
    <t>Nurses, clinical pharmacists, social workers</t>
  </si>
  <si>
    <t>Massachusetts</t>
  </si>
  <si>
    <t xml:space="preserve">Beth Israel Deaconess Medical Center aims to improve care transitions adn reduce hospital readmissions for Medicare and dually eligible beneficiaries through integrated care, improved transitions between locations of care, and focusing on evidence-based best practices. </t>
  </si>
  <si>
    <t>Minimal impact. Increase in 30-day practitioner follow-up visits after hospital discharge.</t>
  </si>
  <si>
    <t>Preventing hospitalizations in very high-risk patients</t>
  </si>
  <si>
    <t>PCP, hospitals, nurse clinicians/telehealth nurses</t>
  </si>
  <si>
    <t xml:space="preserve">This program involves telehealth monitoring for high-risk beneficiaries living independently who have CHF, AMI, COPD, and/or ESRD. There are two arms: one for patients whose condition may be unstable at time of hospital discharage (telemonitoring in the hospital), and the other for high-risk patients living at home (telemonitoring at home). </t>
  </si>
  <si>
    <t>Findings not statistically significant. One-year telemonitoring arm shows decreased cost.</t>
  </si>
  <si>
    <t>Findings not statistically significant</t>
  </si>
  <si>
    <t>PREVENTION AT HOME: A Model for Novel use of Mobile Technologies and Integrated Care Systems to Improve HIV Prevention and Care While Lowering Cost</t>
  </si>
  <si>
    <t>Hospitals, FQHC, community based orgs</t>
  </si>
  <si>
    <t>District of Columbia</t>
  </si>
  <si>
    <t xml:space="preserve"> The awardee’s objectives for the PAH program—which was launched on April 28, 2015—were to increase the number of high-risk individuals in the District of Columbia who have been tested for HIV and sexually transmitted infections (STIs), to assist people living with HIV in getting care, to assist PAH participants in achieving an undetectable viral load, and to lower the health care costs associated with diagnosis and treatment of HIV and STIs. This model was terminated before they project cycle was over. </t>
  </si>
  <si>
    <t>George Washington University voluntarily terminated its cooperative agreement with CMMI and withdrew from the HCIA R2 initiative effective September 1, 2016.</t>
  </si>
  <si>
    <t>Primary Care First</t>
  </si>
  <si>
    <t>Primary Care practices</t>
  </si>
  <si>
    <t>26 Regions in:
AR, CA, CO, DE, FL, HI, KS, KY, LA, MA, ME, MI, MO, NE, NH, NJ, NY, OH, OK, OR, PA, TN, VA</t>
  </si>
  <si>
    <t>Primary Care First addresses these needs by creating a seamless continuum of care and accommodates a continuum of interested providers. The payment options test whether delivery of advanced primary care can reduce total cost of care, accommodating practices at multiple stages of readiness to assume accountability for patient outcomes. Primary Care First will focus on advanced primary care practices ready to assume financial risk in exchange for reduced administrative burdens and performance-based payments.</t>
  </si>
  <si>
    <t>Private For-Profit Demo Project for PACE</t>
  </si>
  <si>
    <t>Nonprofit PACE providers</t>
  </si>
  <si>
    <t xml:space="preserve">Assessed whether care received by PACE enrollees in for-profit plans is different from the care received by enrollees in not-for-profit plans by measuring the degree to which for-profit plans provided access to quality services compared to not-for-profit plans in Pennsylvania. </t>
  </si>
  <si>
    <t>expenditures were equal between forprofit and not-for-profit PACE organizations after controlling for beneficiary risk score, organization frailty score, and county rates</t>
  </si>
  <si>
    <t>cannot conclude that for-profit
PACE participants experienced systematic adverse differences in quality of care or access to care
as compared to not-for-profit PACE participants</t>
  </si>
  <si>
    <t>Proactive Palliative Care and Palliative Radiation Model</t>
  </si>
  <si>
    <t>Virginia</t>
  </si>
  <si>
    <t>The Rector and Visitors of the University of Virginia (UVA) implemented a palliative care program for stage four cancer patients, Comprehensive Assessment with Rapid Evaluation and Treatment (known as CARE Track). CARE Track used a patient-reported outcomes questionnaire (My Course) to monitor symptoms and to better control pain, and STAT RAD, a condensed and targeted radiation workflow, to provide rapid pain relief for metastatic cancer patients</t>
  </si>
  <si>
    <t>We observe non-significant yet promising reductions in cost of care at the end of life.</t>
  </si>
  <si>
    <t>By focusing on pain and symptom management and using patient-reported outcomes to detect emotional and physical discomfort, CARE Track improved the quality of life for stage four cancer patients.
STAT RAD presents an efficient and effective palliative radiation workflow for patients with bone metastases who need immediate pain relief</t>
  </si>
  <si>
    <t>Project INSPIRE NYC (Innovate &amp; Network to Stop hepatitis C virus (HCV) &amp; Prevent complications via Integrating care, Responding to needs and Engaging patients &amp; providers)</t>
  </si>
  <si>
    <t>Hospitals/Health Systems</t>
  </si>
  <si>
    <t>The program sough to facilitate HCV treatment for participants by improving clinical and nonclinical care for both HCV and comorbid conditions and by using tele-mentoring to increase the capacity of health care providers to effectively treat HCV</t>
  </si>
  <si>
    <t>Despite its favorable effects on HCV treatment, the program did not reduce hospitalizations, ED use, readmissions, or Medicare expenditures.</t>
  </si>
  <si>
    <t>Project INSPIRE increased the proportion of patients with an HCV prescription fill by more than 52 percentage points relative to comparators. Almost 84 percent of program participants filled an HCV prescription by the end of the three-year period. This is consistent with the program’s primary goal of obtaining an SVR among adults with HCV via proper adherence to prescription drug treatment.</t>
  </si>
  <si>
    <t>Project SAFEMED</t>
  </si>
  <si>
    <t>Community health pharmacist, community health pharmacist technician, licensed practical nurse, advanced practice nurse, registered nurse, and
social worker.</t>
  </si>
  <si>
    <t>Arkansas, Mississippi, Tennessee</t>
  </si>
  <si>
    <t xml:space="preserve">The HCIA SafeMed project was designed to offer a patient-centered approach to comprehensive medication and disease management through expanded access to inpatient, community-based, and home-based services delivered by a consistent interdisciplinary team. The
project aimed to reduce readmissions, emergency room visits, and health care expenditures. </t>
  </si>
  <si>
    <t xml:space="preserve">Given this low enrollment, a credible quantitative analysis of program effects on health and resource use outcomes was not viable using Medicare claims data. </t>
  </si>
  <si>
    <t>No quality improvements noted in evaluator's report</t>
  </si>
  <si>
    <t>Prosser Washington Community Paramedics Program</t>
  </si>
  <si>
    <t>Critical access hopital, community paramedics</t>
  </si>
  <si>
    <t>Washington</t>
  </si>
  <si>
    <t>No statistically significant average quarterly spending effects per participant</t>
  </si>
  <si>
    <t>Higher inpatient admissions, ED utilization, and readmissions per 1000 admissions for Medicare beneficiaries. Outcomes depend heavily on self-selection into the program</t>
  </si>
  <si>
    <t>Race to health: coordination, integration, and innovations in care</t>
  </si>
  <si>
    <t>Community-based primary care providers</t>
  </si>
  <si>
    <t>This program was designed to improve behavioral and physical health care and outcomes as well as reduce cost of care for adults and childrens receiving outpatient services at Kitsap Mental Health Services, a community mental health center.</t>
  </si>
  <si>
    <t xml:space="preserve"> we estimated that Medicare expenditures decreased $266 per
enrolled beneficiary month for intervention group patients relative to the comparison group (p-value &lt; 0.01).</t>
  </si>
  <si>
    <t xml:space="preserve">fewer hospitalizations and fewer ED visits for patients relative to the comparison group by 0.02 and 0.03 per enrolled month, respectively (p-value &lt;0.01 for both estimates). </t>
  </si>
  <si>
    <t>Radiation Oncology</t>
  </si>
  <si>
    <t>PGP, freestanding radiation therapy center, or HOPD</t>
  </si>
  <si>
    <t>Randomly-selected CBSAs in: 
AK, AR, AZ, CA, CO, CT, DC, DE, FL, GA, HI, ID, IL, IN, KS, KY, LA, MA, ME, MI, MO, MS, MT, NC, ND, NE, NH, NJ, NM, NV, NY, OH, OK, OR, PA, SC, SD, TN, TX, UT, VA, WA, WI, WV, WY</t>
  </si>
  <si>
    <t>Tests whether prospective, site neutral, modality agnostic, episode-based payments for radiotherapy episodes of care will reduce Medicare expenditures while promoting quality of care for beneficiaries</t>
  </si>
  <si>
    <t>Rapid Development and Deployment of Non-Physician Providers in Critical Care</t>
  </si>
  <si>
    <t>Georgia</t>
  </si>
  <si>
    <t>The Emory Rapid Development and Deployment of Non-Physician Providers in Critical Care program aimed to improve patient care and more efficiently use resources to address the critical care physician shortage in the state of Georgia. The program included two components: 1) a critical care residency training program for affiliate providers, and 2) an eICU program to monitor critical care patients 24/7 and provide intensivist physician oversight and support on the night and weekend shifts, when physicians are not consistently present in ICUs</t>
  </si>
  <si>
    <t>The program was associated with a $1,486 reduction in average Medicare spending per 60-day episode relative to the comparison group, yielding an estimated savings of $4.6 million over the course of the intervention</t>
  </si>
  <si>
    <t xml:space="preserve">There were few statistically significant differences between intervention and comparison survey
respondents. </t>
  </si>
  <si>
    <t>Ravenswood Family Health Care Innovation Project</t>
  </si>
  <si>
    <t xml:space="preserve">South County Community Health Center, Inc. is a  FQHC that received an award to create a health care home for patients living in southeast San Mateo County, CA. The majority of patients have diabetes, asthma, serious mental illness, and other chronic conditions. </t>
  </si>
  <si>
    <t>Unable to form conclusions due to small number of patients</t>
  </si>
  <si>
    <t xml:space="preserve">Unable to form conclusions based on care utilization. LDL-C control among those with diabetes increased but rates of HbA1c control and blood pressure control did not improve among diabetic and heart patients. </t>
  </si>
  <si>
    <t>Redesigning service delivery through the Tri-County Health Commons</t>
  </si>
  <si>
    <t>Medical centers and health systems</t>
  </si>
  <si>
    <t>Oregon</t>
  </si>
  <si>
    <t>Medicare, Medicaid, uninsured</t>
  </si>
  <si>
    <t>The Health Commons project aims to create an integrated patient-centered system to improve care coordination, care quality, and health outcomes among high-cost, high-acuity Medicaid patients. Ultimate goal is to develop a sustainable system for care delivery across the community and reduce ED visits adn avoidable hopsital readmissions.</t>
  </si>
  <si>
    <t>Medicare not assessed</t>
  </si>
  <si>
    <t>Reducing hospitalizations in Medicare beneficiaries; a collaboration between acute and post-acute care</t>
  </si>
  <si>
    <t>SNFs</t>
  </si>
  <si>
    <t xml:space="preserve">Vanderbilt University Medical Center partnered with the National HealthCare Corporation and other post-acute care facilities to reduce inpatient re-hospitalization and improve patient experience. This initiative focused on improving hospital-discharge planning, evidence-based interventions, and improved clinical responsiveness at post-acute care facilities. </t>
  </si>
  <si>
    <t>Decrease in ED visits. Increase in 30-day practitioner follow-up visits after hospital discharge</t>
  </si>
  <si>
    <t>Reducing readmissions from nursing home facilities with the Integrated Nurse Training and Mobile Device Harm Reduction Program</t>
  </si>
  <si>
    <t>Hospitals, SNFs</t>
  </si>
  <si>
    <t>Arkansas, Texas, Louisiana</t>
  </si>
  <si>
    <t>Christus Health received an HCIA to implement the Integrated Nurse Training and Mobile Device Harm Reduction (INTM) Program. INTM combined nurse training and supportive mobile device technology to improve the ability of nursing care staff across multiple organizations to recognize early warning signs of congestive heart failure, sepsis, and other high-risk medical conditions, and intervene to mitigate harmful outcomes.</t>
  </si>
  <si>
    <t>The ACH component yeilded no savings to Medicare. The LTPAC component of the Christus program was associated with an increase of $1,362 in average Medicare spending per episode</t>
  </si>
  <si>
    <t xml:space="preserve">There were few statistically significant differences between intervention and comparison survey respondents relating to health outcomes, health-related quality of life, and satisfaction with care/care
experiences. </t>
  </si>
  <si>
    <t>Paramedic Referrals for Increased Independence and Decreased Disability in the Elderly (PRIDE)</t>
  </si>
  <si>
    <t>Paramedics and VNA nurses employed by the PRIDE program</t>
  </si>
  <si>
    <t>Connecticut</t>
  </si>
  <si>
    <t>In the PRIDE program, Yale University served participants who had fallen or were at risk of falling and provided them with in-home interventions and increased linkages to PCPs. Yale aimed to reduce falls and other medical emergencies that contribute to preventable ED visits, hospitalizations, and 911 calls</t>
  </si>
  <si>
    <t>Because of the lack of a qualifying medical event for self-referral and 911 lift-assist participants and the use of clinical judgment in recruiting patients in the ED, Medicare claims data could not be used to identify comparison beneficiaries similar to program participants to conduct a rigorous impact evaluation.</t>
  </si>
  <si>
    <t>It was not possible to conduct a rigorous impact evaluation of the PRIDE program because of the way in which the awardee identified and recruited participants</t>
  </si>
  <si>
    <t>Regional integrated multi-disciplinary approach to prevent and treat chronic pain in North Carolina</t>
  </si>
  <si>
    <t>Primary care clinics</t>
  </si>
  <si>
    <t xml:space="preserve">North Carolina </t>
  </si>
  <si>
    <t>Mountain Area Health Education Center, Inc.’s (MAHEC) Integrated Chronic Pain Treatment and Training Project (ICPTTP) focused on standardizing and streamlining chronic pain care in primary care clinics. The program used multidisciplinary care teams to provide medication management and behavioral health services and offered training in chronic pain management for primary care providers. MAHEC also partnered with Project Lazarus, which conducted community outreach and education regarding prevention of opioid misuse and overdose deaths</t>
  </si>
  <si>
    <t>Based on pre/post analysis, no consistent trends found in cost. (Medicare FFS Claims)</t>
  </si>
  <si>
    <t>Relief from behavioral health issues such as depression, anxiety, and isolation; improved functionality in daily life.</t>
  </si>
  <si>
    <t>REMSA Community Health Early Intervention Team (CHIT)"</t>
  </si>
  <si>
    <t>EMS</t>
  </si>
  <si>
    <t>Nevada</t>
  </si>
  <si>
    <t xml:space="preserve">The Regional Emergency Medical Services Authority's (REMSA) Community Health Programs (CHP) are creating new care and referral patways which ensure patients who have entered the 9-1-1 emergency medical services system with urgent low acuity medical conditions receive safe and appropriate levels of quality care. </t>
  </si>
  <si>
    <t>Average quaterly impact on spending per person was not significant for the Nurse Health Line component. Reduced spending for Community Parademic component.</t>
  </si>
  <si>
    <t>No data on health outcomes. Fewer inpatient stays for the CP component. Fewer inpatient stays per 1,000 participants per quarter and increased ED visits for the Nurse Health Line component</t>
  </si>
  <si>
    <t>Repetitive Scheduled Non-Emergent Ambulance Transport (RSNAT) Prior Authorization Model</t>
  </si>
  <si>
    <t>Yes, per Congress</t>
  </si>
  <si>
    <t>Ambulance suppliers</t>
  </si>
  <si>
    <t>Prior authorization model for repritive, scheduled non-emergent ambulance transports to test whether prior authorization helps to reduce expenditures. Prior authorization ensures that services are provided in compliance with applicable Medicare coverage, coding, and payment rules before services are rendered and claims are submitted for payments.</t>
  </si>
  <si>
    <t xml:space="preserve">RSNAT expeditures decreased as a result of the model.  Overall, Medicare experienced savings for certain services, but increased expenditures in other categories. </t>
  </si>
  <si>
    <t>No evidence of adverse impacts on beneficiaries. Small reductions in ED use and unplanned hospitalizations.</t>
  </si>
  <si>
    <t>Retooling the pharmacist’s role in improving health outcomes and reducing health care costs</t>
  </si>
  <si>
    <t>Pharmacists and pharmacy technicians</t>
  </si>
  <si>
    <t>Wisconsin</t>
  </si>
  <si>
    <t>The Pharmacy Society of Wisconsin received an award to better integrate community pharmacists into clinical care teams. This project, expanding the successful Wisconsin Pharmacy Quality Collaborative (WPQC), will transform the pharmacist’s role from drug dispenser to drug therapy coordinator and manager. . The result of the intervention will be better medication adherence, better medication therapy management, and better health, with a decrease in adverse events and complications and more appropriate, evidence-based 
medication therapy.</t>
  </si>
  <si>
    <t>PSW was associated with a cumulative decrease in mortality and cumulative increases in readmissions and physician and ancillary expenditures, but these estimated effects cannot be credibly attributed to the intervention as they more likely reflect issues specific to the PSW program design.</t>
  </si>
  <si>
    <t>Rural Clinically Integrated Network to Improve Heart Health and Stroke Survival for Rural Kansas</t>
  </si>
  <si>
    <t>Rural hospitals, primary care providers, community health clinics, emergency medical services, a rural tertiary care hospital, and an academic medical center.</t>
  </si>
  <si>
    <t>Kansas</t>
  </si>
  <si>
    <t>The Collaborative program sought to improve outcomes for patients with heart disease, stroke, and, later in the program, sepsis and trauma; and reduce the cost of care</t>
  </si>
  <si>
    <t>Examining outcomes among all Medicare FFS beneficiaries eligible for the acute care arm of the program, the study found no statistical evidence of reductions in total Medicare spending, rates of hospital admissions, rates of ED visits, or mortality.</t>
  </si>
  <si>
    <t>The results of the study suggest that the acute care arm of the program had a favorable impact on inpatient Medicare expenditures for beneficiaries with a stroke diagnosis, though not for those with a diagnosis for heart attack</t>
  </si>
  <si>
    <t>Rural Community Hospital Demonstration</t>
  </si>
  <si>
    <t>Hospitals, providers</t>
  </si>
  <si>
    <t>AK, NE, NV, UT, SD, CO, IO, KS, ME, MS, NM</t>
  </si>
  <si>
    <t xml:space="preserve">Tests the feasibility and advisability of cost-based reimbursement for small rural hospitals that are too large to be Critical Access Hospitals. </t>
  </si>
  <si>
    <t xml:space="preserve"> The demonstration increased payments on a per hospital per year basis by 41 percent during FY 2005-2009 and 42 percent during FY 2011-2013.</t>
  </si>
  <si>
    <t xml:space="preserve"> improvements in hospital finances and operations were
not associated with detectable improvements in quality of inpatient care or patient experience
as examined in the evaluation</t>
  </si>
  <si>
    <t>San Diego: A Health Attack and Stroke Free Zone - HSF - Z</t>
  </si>
  <si>
    <t>Provider-based (primary care physicians)</t>
  </si>
  <si>
    <t>The Regents of the University of California at San Diego implemented HSF-Z to reduce the incidence of heart attacks and strokes in San Diego County, along with their associated health care costs and mortality rates</t>
  </si>
  <si>
    <t>Due to the problems noted above, the analysis cannot be used to make inferences about the impact of this program on Medicare costs or other program outcomes.</t>
  </si>
  <si>
    <t>It was not possible to conduct a rigorous impact evaluation of the HSF-Z program because the clinical values used to determine patients’ eligibility (for example, blood pressure levels) were unavailable in claims, precluding construction of a comparison group and rigorous evaluation of this program.</t>
  </si>
  <si>
    <t>Sanford One Care: transforming primary care for the 21st Century</t>
  </si>
  <si>
    <t xml:space="preserve">Primary Care Practices </t>
  </si>
  <si>
    <t>Minnesota, North Dakota, and South Dakota.</t>
  </si>
  <si>
    <t>Key goals of the initiative were to integrate behavioral health care and care management services into primary care. Investments in workforce development and expansion of health information technology (IT) supported these goals. By the end of the award, Sanford Health aimed to reduce potentially preventable admission and outpatient emergency department (ED) visit rates by 20 percent and reduce total cost of care by 3 percent for Medicare, Medicaid, and Children’s Health Insurance Program (CHIP) beneficiaries with targeted conditions</t>
  </si>
  <si>
    <t>The program had an indeterminate effect on Medicare spending.</t>
  </si>
  <si>
    <t>The program had a statistically significant, modest, favorable improvement on qualityof-care process and service use measures. The program had no substantively large effects on quality-of-care outcomes</t>
  </si>
  <si>
    <t>Sepsis Early Recognition and Response Initiative (SERRI)”</t>
  </si>
  <si>
    <t>ACHs, LTCHs, SNFs, and rehabilitation facilities</t>
  </si>
  <si>
    <t>The Houston Methodist Hospital (HMH) System, in partnership with the Texas Gulf Coast Sepsis Network, received HCIA support to identify and treat sepsis before it progresses. The Sepsis Early Recognition and Response Initiative (SERRI) targeted patients who were admitted to participating ACHs, LTCHs, SNFs, and rehabilitation facilities, including but not limited to Medicare and Medicaid beneficiaries. Through improved training, evidence-based guidelines, systematic screening, and moretimely treatment, HMH and its partners hoped to identify sepsis cases early and prevent progression of the disease, resulting in reduced rates of organ failure, mortality, and LOS, improved patient outcomes, and lower Medicare spending</t>
  </si>
  <si>
    <t>A small but significant increase in median Medicare episode spending for patients screened in the acute care setting, relative to the comparison group. The estimated change in average Medicare spending was less than $30 and statistically insignificant</t>
  </si>
  <si>
    <t xml:space="preserve">no statistically significant
differences between intervention and comparison survey respondents related to health outcomes, healthrelated quality of life, satisfaction with care, or care experiences. </t>
  </si>
  <si>
    <t>Shared decision making for preference-sensitive surgery</t>
  </si>
  <si>
    <t>Patients and providers</t>
  </si>
  <si>
    <t>Ohio, Texas</t>
  </si>
  <si>
    <t>The Welvie SDM innovation seeks to enable patients to make informed decisions about preference-sensitive surgeries and procedures (e.g., surgeries of the knee, spine, heart, and eye) and their alternatives. The innovation aims to enhance patient experience, increase patients’
surgical literacy, improve surgical outcomes, and reduce the incidence of inappropriate surgical procedures</t>
  </si>
  <si>
    <t xml:space="preserve"> not associated with cumulative effects across the eleven
quarters after program enrollment on resource use outcomes or expenditures for the Medicare
FFS Ohio cohort; For the MA Ohio cohort, the Welvie intervention was associated with cumulative
decreases in total surgery expenditures  across the eleven quarters after program
enrollment; MA Texas cohort yielded mixed results</t>
  </si>
  <si>
    <t>mixed results across the three cohorts</t>
  </si>
  <si>
    <t>SMARTCare</t>
  </si>
  <si>
    <t>Hospital . provider based facilities, academic medical centers</t>
  </si>
  <si>
    <t>Wisconsin, Florida</t>
  </si>
  <si>
    <t>ACCF focused on changing clinicians’ behavior by providing (1) decision-support tools at the point of care to assess treatment options for SIHD, (2) patient education materials on specific treatment options, and (3) individually tailored risk and benefit information to support shared decision making.</t>
  </si>
  <si>
    <t>it was not possible to estimate the impact of the SMARTCare intervention on service use and costs</t>
  </si>
  <si>
    <t>It was not possible to obtain reliable estimates of the SMARTCare intervention’s impact on outcomes.</t>
  </si>
  <si>
    <t>Southwest Colorado cardiac and stroke care</t>
  </si>
  <si>
    <t xml:space="preserve">Colorado </t>
  </si>
  <si>
    <t>The Upper San Juan Health Services District (USJHSD) program focused on reducing cardiovascular disease (CVD) risks for its rural patients living in a medically underserved area of southwestern Colorado. USJHSD included Pagosa Springs Emergency Medical Services (EMS) and the Pagosa Springs Medical Center (Medical Center). USJHSD had three interconnected arms: 1) wellness programs, 2) paramedicine, and 3) telemedicine.</t>
  </si>
  <si>
    <t>Significant decrease in cost per SCT, although overall significant increase in SCT costs due to higher number of ground transports</t>
  </si>
  <si>
    <t>Wellness center screenings for more than 1,600 patients promoted reengagement with primary care providers.</t>
  </si>
  <si>
    <t>Sustainable high-utilization team model</t>
  </si>
  <si>
    <t xml:space="preserve">Integrated care management teams </t>
  </si>
  <si>
    <t>California, Colorado, Missouri, Pennsylvania</t>
  </si>
  <si>
    <t>Rutgers Center for State Health Policy (CSHP) used its $14.3 million Health Care Innovation Award (HCIA) to implement a community-based care management/carecoordination program, also known as a “hotspotting” program, at four provider organizations. Based on an existing care management/care coordination hotspotting model designed by the Camden Coalition of Healthcare Providers (Camden Coalition), the CSHP program used multidisciplinary, community-based care teams to connect participants who were frequent users of hospital services (“high utilizers”) to appropriate clinical and social services, help them manage their conditions, and overcome socioeconomic obstacles to care</t>
  </si>
  <si>
    <t>The program had an indeterminate effect on service use and Medicare spending</t>
  </si>
  <si>
    <t>Statistically significant (and substantively large) favorable effect on quality-of-care outcomes. An indeterminate effect on quality-of-care processes</t>
  </si>
  <si>
    <t>Tele-critical care and emergency services</t>
  </si>
  <si>
    <t>Idaho, Oregon</t>
  </si>
  <si>
    <t>St. Luke’s HCIA Award used a telemedicine eICU intervention (essentially the same as the Emory intervention but without the NP/PA training program). The program objective was to extend intensivist physician oversight to ICUs on night and weekend shifts and in small rural hospital across a wide geographic area in Idaho. eICU critical care nurses and physicians offered remote monitoring of patients in participating ICUs and access to an intensivist physician on off shifts.</t>
  </si>
  <si>
    <t>St. Luke’s teleICU program was not associated with a change in the rate of post-discharge inpatient readmissions or ED visits, patterns of discharge destination, or average Medicare spending, relative to the comparison group</t>
  </si>
  <si>
    <t xml:space="preserve">The St. Luke’s patient sample size was quite small (approximately 400 patients per quarter), which
partially explains the lack of significant differences between the intervention and comparison groups. </t>
  </si>
  <si>
    <t>The Bronx Regional Informatics Center (BRIC)</t>
  </si>
  <si>
    <t>The Bronx Regional Health Information Organization launched the Bronx Regional Informatics Center with the intention of improving the health of patients who received care at affiliated pilot sites and consented to share their health information through the Bronx RHIO exchange.</t>
  </si>
  <si>
    <t>Not statistically significant</t>
  </si>
  <si>
    <t>Lower inpatient stays and ED visits. Limited ability to assess health outcomes.</t>
  </si>
  <si>
    <t>The right exam, at the right time, read by the right radiologist</t>
  </si>
  <si>
    <t>Imaging Advantage, a for-profit provider of hospital-based and telemedicine solutions for medical imaging, focused on workflow reengineering for teleradiology services.</t>
  </si>
  <si>
    <t>Limited evidence of reduced outpatient MRI expenditures. This program was not expected to make a significant impact on total costs.</t>
  </si>
  <si>
    <t>This model was not expected to impact inpatient stays, readmissions, or ED visits. Claims analysis found decreased ED visits. Health outcomes did not change</t>
  </si>
  <si>
    <t>The UCSF and UNMC Dementia Care Ecosystem: Using Innovative Technologies to Personalize and Deliver Coordinated Dementia Care</t>
  </si>
  <si>
    <t>Behavioral health and cognitive disorders</t>
  </si>
  <si>
    <t>Care team navigators (CTNs) primarily engaged beneficiaries and caregivers by telephone and occasionally in person</t>
  </si>
  <si>
    <t>California, Nebraska</t>
  </si>
  <si>
    <t>To develop, improve, and test a new model of dementia care that would address the unmet needs of patients and caregivers in the current FFS payment structure</t>
  </si>
  <si>
    <t>Patients had  lower expenditures than the comparison group. However, the statistical evidence that this lower resource use was attributable to the program was weak, due to the small sample size</t>
  </si>
  <si>
    <t>While the program showed promising results – with the beneficiaries in the intervention group having somewhat (about 10 percent) fewer hospitalizations and ED visits, and slightly (5 percent) lower expenditures, than those in the control group, these results were not statistically significant and may not be due to the program</t>
  </si>
  <si>
    <t>TIPPING POINT: Total Integration, Patient Navigation and Provider Training Project for Powers County, Colorado</t>
  </si>
  <si>
    <t>Mental health service agency</t>
  </si>
  <si>
    <t xml:space="preserve">Southeast Mental Health Services aimed to coordinate comprehensive community-based care for high-risk, high-cost, and chronically ill residents of rural Prowers County, CO. The program employed trained patient navigators to increase patients' access to primary and behavioral care, preventive care, and early intervention services. </t>
  </si>
  <si>
    <t>No statistically significant changes in FFS Medicare</t>
  </si>
  <si>
    <t>FFS Medicare had higher rate of ED visits per 1000 participants/quarter and lower rate of unplanned readmissions per 1000 admissions/quarter. No statistically significant impact on inpatient admissions</t>
  </si>
  <si>
    <t>Transforming Clinical Practice</t>
  </si>
  <si>
    <t>Practice Transformation Networks (PTNs) and Support and Alignment
Networks (SANs)</t>
  </si>
  <si>
    <t>The Transforming Clinical Practice Initiative (TCPI) model was uniquely designed to support clinician practices through nationwide, collaborative, and peer-based learning networks designed to help clinicians and practices to achieve large scale health care transformation, prepare practices to successfully participate in value-based payment arrangements, including Alternative Payment Models (APMs), and improve the quality of care.</t>
  </si>
  <si>
    <t>Transforming primary care delivery: a community partnership</t>
  </si>
  <si>
    <t xml:space="preserve">Community health </t>
  </si>
  <si>
    <t xml:space="preserve">New York </t>
  </si>
  <si>
    <t>Finger Lakes Health Systems Agency (FLHSA) received an award to enhance primary care in the Finger Lakes region of New York State. Focusing on primary care practices with large panels of adult Medicare and Medicaid patients, selected participants will receive a fully-funded care manager, technical and financial assistance towards patient-centered medical home certification, and inclusion in an innovative payment model developed in collaboration with local payers. The primary goal of these supports is to reduce hospital admissions, hospital readmissions, and emergency department usage.</t>
  </si>
  <si>
    <t xml:space="preserve">indeterminate effect on  spending domains </t>
  </si>
  <si>
    <t xml:space="preserve">a statistically significant favorable impact on quality-of-care processes, but there was not a  good statistical power in the quality-of-care outcomes </t>
  </si>
  <si>
    <t>Transitional care teams to improve quality and reduce costs for rural patients with complex illness</t>
  </si>
  <si>
    <t xml:space="preserve">CAHs, nurse-led transitional care teams </t>
  </si>
  <si>
    <t>Iowa</t>
  </si>
  <si>
    <t xml:space="preserve">The University of Iowa partnered with 10 CAHs to improve care coordination and communication for adults with complex illnesses--including psychiatric disorders, kidney disease, endocrine and gastrointestinal disorders, pulmonary, and geriatric issues--regardless of insurance status. </t>
  </si>
  <si>
    <t>Reduction in total quarterly cost of care (-$5,533 per beneficiary-episode)</t>
  </si>
  <si>
    <t>Increase in 30-day practitioner followup visits per quarter post-discharge (85 per 1,000 beneficiary-episodes)
93% of respondents report receiving a
follow-up call from U Iowa staff within
three days of discharge (timely services delivery)
91% report attending the scheduled
follow-up appointment with their
primary care provider after hospital
discharge (timely services delivery)
Among those who received a follow-up call, 72% report that the U Iowa staff member was very or extremely helpful (patient satisfaction)</t>
  </si>
  <si>
    <t>Transitioning a Rural Health Network to Value-Based Care</t>
  </si>
  <si>
    <t>Hospitals and their affiliated rural clinics</t>
  </si>
  <si>
    <t>Iowa, Nebraska</t>
  </si>
  <si>
    <t>CHIIC implemented the program to improve management of chronic conditions among Medicare and Medicaid FFS beneficiaries in rural Iowa and Nebraska and reduce the cost of care for these beneficiaries.</t>
  </si>
  <si>
    <t>The health coaching intervention reduced total Medicare expenditures among the small group of beneficiaries who enrolled within the first nine months of the program start date. A reduction in inpatient stays drove that effect as, to a lesser extent, did a reduction in ED visits.</t>
  </si>
  <si>
    <t>Overall, the program had no estimated effect on the primary outcomes. Those who enrolled in the first nine months (only about 10 percent of the total) seemed to experience a favorable effect and appeared to be at somewhat higher risk than later enrollees based on HCC scores and baseline service use.</t>
  </si>
  <si>
    <t>UCLA Alzheimer’s and dementia care: comprehensive, coordinated, patient-centered</t>
  </si>
  <si>
    <t>The Regents of the University of California, Los Angeles (UCLA) Alzheimer’s and Dementia Care (ADC) program used nurse practitioners as dementia care managers (DCMs) to collaborate with patients’ primary care providers (PCPs). DCMs assessed patients’ health, offered treatment, developed care plans, and made referrals to outside community-based services for patient and caregiver support services as needed.</t>
  </si>
  <si>
    <t>Significantly lower average cost of care ($605 less per patient per quarter).</t>
  </si>
  <si>
    <t>Improved understanding and management of dementia; improved self-care among caregivers; increased access to community-based support services.</t>
  </si>
  <si>
    <t>Using care managers and technology to improve the care of patients with schizophrenia</t>
  </si>
  <si>
    <t>Community mental health centers</t>
  </si>
  <si>
    <t xml:space="preserve">The Feinstein Institute for Medical Research implemented a program of complementary technologies and interventions designed to lower cost of care and improve mental health for individuals living with schizophrenia, schizoaffective disorder, or unspecified psychiatric condition across 10 community mental health centers in 8 states.  </t>
  </si>
  <si>
    <t xml:space="preserve">Unable to assess program impacts due to a lack of complete quantitative data. </t>
  </si>
  <si>
    <t xml:space="preserve">Unable to assess program impacts due to a lack of complete quantitative data. However, qualitative findings indicate that program leaders noted improvements in desired health outcomes among participants and increases in connectedness to care and social supports as a result of the program's health technologies. </t>
  </si>
  <si>
    <t>Using Telemedicine in peritoneal dialysis to improve patient adherence and outcomes while reducing overall costs</t>
  </si>
  <si>
    <t>DaVita clinics</t>
  </si>
  <si>
    <t>District of Columbia, Maryland, Virginia</t>
  </si>
  <si>
    <t>The George Washington University (GWU) implemented a telemonitoring program for end-stage renal disease (ESRD) patients on peritoneal dialysis (PD). The intervention incorporates remote data exchange into patients’ self-monitoring regimens. Patients were asked to take daily blood pressure and weight readings for transmission to DaVita clinics. Clinic nurses monitored patient data and followed up with patients as needed</t>
  </si>
  <si>
    <t>No consistent trends in cost</t>
  </si>
  <si>
    <t>No reported changes in care</t>
  </si>
  <si>
    <t>Value in Opioid Use Disorder Treatment Demonstration Program</t>
  </si>
  <si>
    <t>Physician, Group practice comprised of at least one physician, Hospital outpatient department,
FQHC, RHC, Community mental health center,
Clinic certified as a certified community behavioral health clinic, OTP, CAH</t>
  </si>
  <si>
    <t xml:space="preserve">The purpose of the demonstration, as stated in the statute, is to “increase access of applicable beneficiaries to opioid use disorder treatment services, improve physical and mental health outcomes for such beneficiaries, and to the extent possible, reduce [Medicare program expenditures].” </t>
  </si>
  <si>
    <t>Vermont All-Payer Accountable Care Organization (ACO)</t>
  </si>
  <si>
    <t>ACOs</t>
  </si>
  <si>
    <t>Vermont</t>
  </si>
  <si>
    <t xml:space="preserve">Vermont was provided funding to offer ACOs the chance to participate in this initiative. Focus on care coordination and collaboration with community-based providers. </t>
  </si>
  <si>
    <t>4.1% growth in TCOC</t>
  </si>
  <si>
    <t>Vermont meets three out of six population-level health outcomes targets</t>
  </si>
  <si>
    <t>VillageCare's Treatment Adherence through the Advanced Use of Technology (TAAUT)</t>
  </si>
  <si>
    <t>MCOs provided patients</t>
  </si>
  <si>
    <t>Improve adherence to HIV treatment through the use of an integrated mobile platform and application.</t>
  </si>
  <si>
    <t>For Medicare beneficiaries, the pre-post changes in both hospitalizations and total Medicare spending were lower for the treatment group than for the comparison group (by 10 and 8 percent, respectively), but the sample is small and neither difference was statistically significant.</t>
  </si>
  <si>
    <t>The estimates do not suggest that the Rango integrated mobile platform and mobile application reduced service use among either Medicaid or Medicare beneficiaries</t>
  </si>
  <si>
    <t>Washington’s State Innovation Model Initiative</t>
  </si>
  <si>
    <t>SIM</t>
  </si>
  <si>
    <t>Move provider payments “from volume to value” to deliver whole-person care and improve community health through a regional approach. WA is testing new payment models that are fostering behavioral and physical health integration through managed care; creating VBP options for FQHCs, RHCs, and rural critical access hospitals (CAHs); and offering an accountable care option to public employees. The state is also equipping providers with multi-payer data to facilitate adoption of VBP. The nine regional ACHs bring together local stakeholders from multiple sectors to ensure that the transformed delivery system meets local clinical and population health needs.</t>
  </si>
  <si>
    <t>No measurable effects on Medicare costs</t>
  </si>
  <si>
    <t>No measurable effects on Medicare quality</t>
  </si>
  <si>
    <t>Wyoming: a frontier state's strategic partnership for transforming care delivery</t>
  </si>
  <si>
    <t xml:space="preserve">Primary care clinics </t>
  </si>
  <si>
    <t>Nebraska, Wyoming</t>
  </si>
  <si>
    <t>WIPH, a division of Cheyenne Regional Medical Center, received a $14.2 million HCIA to transform rural care delivery through the creation of medical neighborhoods across Wyoming.
The Wyoming Medical Neighborhoods program included five components: (1) transformation of primary care practices into PCMHs, (2) hospital transition assistance for participants 65 or older
with one of 10 qualifying conditions, (3) telehealth videoconferencing technology in hospitals and doctors’ offices, (4) community-based access to free medications, and (5) the Virtual
Pharmacy Program</t>
  </si>
  <si>
    <t xml:space="preserve">Unable to draw conclusions about program impacts </t>
  </si>
  <si>
    <t>Health Care Innovation Awards Round One</t>
  </si>
  <si>
    <t>Health Care Innovation Awards Round Two</t>
  </si>
  <si>
    <t>State Innovation Models</t>
  </si>
  <si>
    <t>Medicaid &amp; CHIP</t>
  </si>
  <si>
    <t>Meta-Analysis and Evaluators Collaborative</t>
  </si>
  <si>
    <t xml:space="preserve">State-Based Initiatives </t>
  </si>
  <si>
    <t>Youth with complex medical conditions</t>
  </si>
  <si>
    <t>other</t>
  </si>
  <si>
    <t>Just Part C</t>
  </si>
  <si>
    <t>Fourth year</t>
  </si>
  <si>
    <t>Additional years</t>
  </si>
  <si>
    <t>Total performance period in years</t>
  </si>
  <si>
    <t>For each characteristic, we either used the same potential values that CMMI used in published information (e.g., urban versus rural, other payers) or assigned our own categories based on our review of the same information (e.g., we used “Part A” to describe hospital-based services). Throughout the data collection and review process, we encountered inconsistencies in the information available about the models across many characteristics, such as start and end dates, number and location of testing sites, and inclusion of other payers. Data sources include the website pages that CMMI posts for most models; documents listed on those pages, including independent evaluator reports, fact sheets, and others; and references to CMMI models in Congressional legislation.  We generally resolved inconsistencies by selecting the description from the most recently published source.  In situations where data inconsistencies were especially challenging or where we were unable to locate specific information, we have noted that data were “not readily available” or “missing.”</t>
  </si>
  <si>
    <t>Performance period start (approximate)</t>
  </si>
  <si>
    <t>Performance period end (approximate)</t>
  </si>
  <si>
    <r>
      <t xml:space="preserve">Estimated payments 2010-2018: </t>
    </r>
    <r>
      <rPr>
        <sz val="11"/>
        <color theme="1"/>
        <rFont val="Calibri"/>
        <family val="2"/>
        <scheme val="minor"/>
      </rPr>
      <t>For models other than Healthcare Innovation Award (HCIA) and State Innovation Model (SIM) models, HMA calculated the sum of the three categories of spending associated with models from the inception of the Innovation Center to September 30, 2018 that CMMI included in its most recent annual report to Congress:
o	CMS Innovation Center payments made to model and initiative participants, such as health care providers, states, conveners, ACOs, and others, under section 1115a of the Social Security Act
o	Payments under Title XVIII or XIX made for services on behalf of beneficiaries  
o	Other CMS Innovation Center funds under section 1115a obligated to support design, implementation, and evaluation 
For HCIA and SIM models, we include total estimated spending amounts as reported in CMMI summary descriptions of models.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</si>
</sst>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6" formatCode="&quot;$&quot;#,##0_);[Red]\(&quot;$&quot;#,##0\)"/>
    <numFmt numFmtId="44" formatCode="_(&quot;$&quot;* #,##0.00_);_(&quot;$&quot;* \(#,##0.00\);_(&quot;$&quot;* &quot;-&quot;??_);_(@_)"/>
    <numFmt numFmtId="43" formatCode="_(* #,##0.00_);_(* \(#,##0.00\);_(* &quot;-&quot;??_);_(@_)"/>
    <numFmt numFmtId="164" formatCode="_(* #,##0_);_(* \(#,##0\);_(* &quot;-&quot;??_);_(@_)"/>
    <numFmt numFmtId="165" formatCode="&quot;$&quot;#,##0"/>
    <numFmt numFmtId="166" formatCode="[$-409]mmm\ yyyy;@"/>
    <numFmt numFmtId="167" formatCode="_([$$-409]* #,##0_);_([$$-409]* \(#,##0\);_([$$-409]* &quot;-&quot;??_);_(@_)"/>
    <numFmt numFmtId="168" formatCode="_(&quot;$&quot;* #,##0_);_(&quot;$&quot;* \(#,##0\);_(&quot;$&quot;* &quot;-&quot;??_);_(@_)"/>
    <numFmt numFmtId="169" formatCode="&quot;$&quot;#,##0.00"/>
    <numFmt numFmtId="170" formatCode="0.0"/>
  </numFmts>
  <fonts count="13" x14ac:knownFonts="1">
    <font>
      <sz val="11"/>
      <color theme="1"/>
      <name val="Calibri"/>
      <family val="2"/>
      <scheme val="minor"/>
    </font>
    <font>
      <sz val="11"/>
      <color theme="1"/>
      <name val="Calibri"/>
      <family val="2"/>
      <scheme val="minor"/>
    </font>
    <font>
      <b/>
      <sz val="11"/>
      <color theme="1"/>
      <name val="Calibri"/>
      <family val="2"/>
      <scheme val="minor"/>
    </font>
    <font>
      <i/>
      <sz val="11"/>
      <color theme="1"/>
      <name val="Calibri"/>
      <family val="2"/>
      <scheme val="minor"/>
    </font>
    <font>
      <sz val="11"/>
      <color theme="1"/>
      <name val="Calibri"/>
      <family val="2"/>
    </font>
    <font>
      <sz val="11"/>
      <color rgb="FF000000"/>
      <name val="Calibri"/>
      <family val="2"/>
    </font>
    <font>
      <sz val="8"/>
      <name val="Calibri"/>
      <family val="2"/>
      <scheme val="minor"/>
    </font>
    <font>
      <sz val="11"/>
      <color rgb="FF000000"/>
      <name val="Calibri"/>
      <family val="2"/>
      <scheme val="minor"/>
    </font>
    <font>
      <sz val="11"/>
      <name val="Calibri"/>
      <family val="2"/>
      <scheme val="minor"/>
    </font>
    <font>
      <sz val="10"/>
      <color rgb="FF000000"/>
      <name val="Arial"/>
      <family val="2"/>
    </font>
    <font>
      <sz val="12"/>
      <color theme="1"/>
      <name val="Calibri"/>
      <family val="2"/>
      <scheme val="minor"/>
    </font>
    <font>
      <b/>
      <sz val="20"/>
      <color theme="1"/>
      <name val="Calibri"/>
      <family val="2"/>
      <scheme val="minor"/>
    </font>
    <font>
      <b/>
      <sz val="11"/>
      <color rgb="FF000000"/>
      <name val="Calibri"/>
      <family val="2"/>
      <scheme val="minor"/>
    </font>
  </fonts>
  <fills count="6">
    <fill>
      <patternFill patternType="none"/>
    </fill>
    <fill>
      <patternFill patternType="gray125"/>
    </fill>
    <fill>
      <patternFill patternType="solid">
        <fgColor rgb="FFF2F2F2"/>
        <bgColor indexed="64"/>
      </patternFill>
    </fill>
    <fill>
      <patternFill patternType="solid">
        <fgColor rgb="FFFFF2CC"/>
        <bgColor indexed="64"/>
      </patternFill>
    </fill>
    <fill>
      <patternFill patternType="solid">
        <fgColor rgb="FFE2EFDA"/>
        <bgColor indexed="64"/>
      </patternFill>
    </fill>
    <fill>
      <patternFill patternType="solid">
        <fgColor rgb="FFFFFFFF"/>
        <bgColor indexed="64"/>
      </patternFill>
    </fill>
  </fills>
  <borders count="6">
    <border>
      <left/>
      <right/>
      <top/>
      <bottom/>
      <diagonal/>
    </border>
    <border>
      <left style="thin">
        <color theme="2" tint="-9.9978637043366805E-2"/>
      </left>
      <right style="thin">
        <color theme="2" tint="-9.9978637043366805E-2"/>
      </right>
      <top style="thin">
        <color theme="2" tint="-9.9978637043366805E-2"/>
      </top>
      <bottom style="thin">
        <color theme="2" tint="-9.9978637043366805E-2"/>
      </bottom>
      <diagonal/>
    </border>
    <border>
      <left/>
      <right style="thin">
        <color theme="2" tint="-9.9978637043366805E-2"/>
      </right>
      <top style="thin">
        <color theme="2" tint="-9.9978637043366805E-2"/>
      </top>
      <bottom style="thin">
        <color theme="2" tint="-9.9978637043366805E-2"/>
      </bottom>
      <diagonal/>
    </border>
    <border>
      <left/>
      <right style="thin">
        <color theme="2" tint="-9.9978637043366805E-2"/>
      </right>
      <top style="thin">
        <color theme="2" tint="-9.9978637043366805E-2"/>
      </top>
      <bottom/>
      <diagonal/>
    </border>
    <border>
      <left style="thin">
        <color theme="2" tint="-9.9978637043366805E-2"/>
      </left>
      <right style="thin">
        <color theme="2" tint="-9.9978637043366805E-2"/>
      </right>
      <top/>
      <bottom style="thin">
        <color theme="2" tint="-9.9978637043366805E-2"/>
      </bottom>
      <diagonal/>
    </border>
    <border>
      <left/>
      <right style="thin">
        <color theme="2" tint="-9.9978637043366805E-2"/>
      </right>
      <top/>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54">
    <xf numFmtId="0" fontId="0" fillId="0" borderId="0" xfId="0"/>
    <xf numFmtId="0" fontId="2" fillId="0" borderId="0" xfId="0" applyFont="1" applyAlignment="1">
      <alignment wrapText="1"/>
    </xf>
    <xf numFmtId="0" fontId="0" fillId="0" borderId="0" xfId="0" applyAlignment="1">
      <alignment horizontal="left" vertical="top" wrapText="1"/>
    </xf>
    <xf numFmtId="0" fontId="2" fillId="0" borderId="0" xfId="0" applyFont="1"/>
    <xf numFmtId="0" fontId="5" fillId="0" borderId="0" xfId="0" applyFont="1" applyAlignment="1">
      <alignment wrapText="1"/>
    </xf>
    <xf numFmtId="0" fontId="5" fillId="2" borderId="0" xfId="0" applyFont="1" applyFill="1" applyAlignment="1">
      <alignment wrapText="1"/>
    </xf>
    <xf numFmtId="0" fontId="0" fillId="2" borderId="0" xfId="0" applyFill="1"/>
    <xf numFmtId="0" fontId="5" fillId="3" borderId="0" xfId="0" applyFont="1" applyFill="1" applyAlignment="1">
      <alignment wrapText="1"/>
    </xf>
    <xf numFmtId="0" fontId="5" fillId="4" borderId="0" xfId="0" applyFont="1" applyFill="1" applyAlignment="1">
      <alignment wrapText="1"/>
    </xf>
    <xf numFmtId="166" fontId="0" fillId="0" borderId="0" xfId="0" applyNumberFormat="1" applyAlignment="1">
      <alignment horizontal="left" vertical="top" wrapText="1"/>
    </xf>
    <xf numFmtId="0" fontId="2" fillId="0" borderId="0" xfId="0" applyFont="1" applyAlignment="1">
      <alignment horizontal="left" vertical="top" wrapText="1"/>
    </xf>
    <xf numFmtId="49" fontId="0" fillId="0" borderId="0" xfId="0" applyNumberFormat="1" applyAlignment="1">
      <alignment horizontal="left" vertical="top" wrapText="1"/>
    </xf>
    <xf numFmtId="0" fontId="11" fillId="0" borderId="0" xfId="0" applyFont="1"/>
    <xf numFmtId="0" fontId="0" fillId="0" borderId="1" xfId="0" applyBorder="1" applyAlignment="1">
      <alignment horizontal="left" vertical="top" wrapText="1"/>
    </xf>
    <xf numFmtId="0" fontId="0" fillId="0" borderId="5" xfId="0" applyBorder="1" applyAlignment="1">
      <alignment horizontal="left" vertical="top" wrapText="1"/>
    </xf>
    <xf numFmtId="166" fontId="0" fillId="0" borderId="0" xfId="0" applyNumberFormat="1" applyAlignment="1">
      <alignment horizontal="left" vertical="top"/>
    </xf>
    <xf numFmtId="0" fontId="0" fillId="0" borderId="0" xfId="0" applyAlignment="1">
      <alignment wrapText="1"/>
    </xf>
    <xf numFmtId="0" fontId="7" fillId="5" borderId="0" xfId="0" applyFont="1" applyFill="1" applyAlignment="1">
      <alignment horizontal="left" vertical="top" wrapText="1"/>
    </xf>
    <xf numFmtId="0" fontId="0" fillId="5" borderId="0" xfId="0" applyFill="1" applyAlignment="1">
      <alignment horizontal="left" vertical="top" wrapText="1"/>
    </xf>
    <xf numFmtId="14" fontId="0" fillId="0" borderId="0" xfId="0" applyNumberFormat="1" applyAlignment="1">
      <alignment horizontal="left" vertical="top" wrapText="1"/>
    </xf>
    <xf numFmtId="0" fontId="10" fillId="0" borderId="0" xfId="0" applyFont="1" applyAlignment="1">
      <alignment horizontal="left" vertical="top" wrapText="1"/>
    </xf>
    <xf numFmtId="0" fontId="0" fillId="0" borderId="3" xfId="0" applyBorder="1" applyAlignment="1">
      <alignment horizontal="left" vertical="top" wrapText="1"/>
    </xf>
    <xf numFmtId="0" fontId="0" fillId="0" borderId="4" xfId="0" applyBorder="1" applyAlignment="1">
      <alignment horizontal="left" vertical="top" wrapText="1"/>
    </xf>
    <xf numFmtId="0" fontId="5" fillId="0" borderId="0" xfId="0" applyFont="1" applyAlignment="1">
      <alignment horizontal="left" vertical="top" wrapText="1"/>
    </xf>
    <xf numFmtId="0" fontId="0" fillId="0" borderId="2" xfId="0" applyBorder="1" applyAlignment="1">
      <alignment horizontal="left" vertical="top" wrapText="1"/>
    </xf>
    <xf numFmtId="0" fontId="2" fillId="0" borderId="0" xfId="0" applyFont="1" applyAlignment="1">
      <alignment horizontal="right" vertical="top" wrapText="1"/>
    </xf>
    <xf numFmtId="0" fontId="0" fillId="0" borderId="0" xfId="0" applyAlignment="1">
      <alignment horizontal="right" vertical="top" wrapText="1"/>
    </xf>
    <xf numFmtId="44" fontId="0" fillId="0" borderId="0" xfId="0" applyNumberFormat="1" applyAlignment="1">
      <alignment horizontal="right" vertical="top" wrapText="1"/>
    </xf>
    <xf numFmtId="164" fontId="0" fillId="0" borderId="0" xfId="1" applyNumberFormat="1" applyFont="1" applyAlignment="1">
      <alignment horizontal="right" vertical="top" wrapText="1"/>
    </xf>
    <xf numFmtId="6" fontId="0" fillId="0" borderId="0" xfId="0" applyNumberFormat="1" applyAlignment="1">
      <alignment horizontal="right" vertical="top" wrapText="1"/>
    </xf>
    <xf numFmtId="3" fontId="0" fillId="0" borderId="0" xfId="0" applyNumberFormat="1" applyAlignment="1">
      <alignment horizontal="right" vertical="top" wrapText="1"/>
    </xf>
    <xf numFmtId="169" fontId="0" fillId="0" borderId="0" xfId="0" applyNumberFormat="1" applyAlignment="1">
      <alignment horizontal="right" vertical="top" wrapText="1"/>
    </xf>
    <xf numFmtId="168" fontId="0" fillId="0" borderId="0" xfId="2" applyNumberFormat="1" applyFont="1" applyAlignment="1">
      <alignment horizontal="right" vertical="top" wrapText="1"/>
    </xf>
    <xf numFmtId="168" fontId="0" fillId="0" borderId="0" xfId="0" applyNumberFormat="1" applyAlignment="1">
      <alignment horizontal="right" vertical="top" wrapText="1"/>
    </xf>
    <xf numFmtId="165" fontId="0" fillId="0" borderId="0" xfId="0" applyNumberFormat="1" applyAlignment="1">
      <alignment horizontal="right" vertical="top" wrapText="1"/>
    </xf>
    <xf numFmtId="165" fontId="0" fillId="0" borderId="0" xfId="2" applyNumberFormat="1" applyFont="1" applyAlignment="1">
      <alignment horizontal="right" vertical="top" wrapText="1"/>
    </xf>
    <xf numFmtId="0" fontId="8" fillId="0" borderId="0" xfId="0" applyFont="1" applyAlignment="1">
      <alignment horizontal="right" vertical="top" wrapText="1"/>
    </xf>
    <xf numFmtId="169" fontId="9" fillId="0" borderId="0" xfId="0" applyNumberFormat="1" applyFont="1" applyAlignment="1">
      <alignment horizontal="right" vertical="top" wrapText="1"/>
    </xf>
    <xf numFmtId="6" fontId="4" fillId="0" borderId="0" xfId="0" applyNumberFormat="1" applyFont="1" applyAlignment="1">
      <alignment horizontal="right" vertical="top" wrapText="1"/>
    </xf>
    <xf numFmtId="164" fontId="0" fillId="0" borderId="0" xfId="0" applyNumberFormat="1" applyAlignment="1">
      <alignment horizontal="right" vertical="top" wrapText="1"/>
    </xf>
    <xf numFmtId="1" fontId="0" fillId="0" borderId="0" xfId="0" applyNumberFormat="1" applyAlignment="1">
      <alignment horizontal="right" vertical="top" wrapText="1"/>
    </xf>
    <xf numFmtId="167" fontId="0" fillId="0" borderId="0" xfId="0" applyNumberFormat="1" applyAlignment="1">
      <alignment horizontal="right" vertical="top" wrapText="1"/>
    </xf>
    <xf numFmtId="6" fontId="9" fillId="0" borderId="0" xfId="0" applyNumberFormat="1" applyFont="1" applyAlignment="1">
      <alignment horizontal="right" vertical="top" wrapText="1"/>
    </xf>
    <xf numFmtId="0" fontId="0" fillId="0" borderId="0" xfId="0" applyFont="1" applyAlignment="1">
      <alignment wrapText="1"/>
    </xf>
    <xf numFmtId="170" fontId="2" fillId="0" borderId="0" xfId="0" applyNumberFormat="1" applyFont="1" applyAlignment="1">
      <alignment horizontal="right" vertical="top" wrapText="1"/>
    </xf>
    <xf numFmtId="170" fontId="0" fillId="0" borderId="0" xfId="0" applyNumberFormat="1" applyAlignment="1">
      <alignment horizontal="right" vertical="top" wrapText="1"/>
    </xf>
    <xf numFmtId="170" fontId="0" fillId="0" borderId="0" xfId="0" applyNumberFormat="1" applyAlignment="1">
      <alignment horizontal="left" vertical="top" wrapText="1"/>
    </xf>
    <xf numFmtId="168" fontId="0" fillId="0" borderId="0" xfId="2" applyNumberFormat="1" applyFont="1" applyFill="1" applyAlignment="1">
      <alignment horizontal="right" vertical="top" wrapText="1"/>
    </xf>
    <xf numFmtId="167" fontId="0" fillId="0" borderId="0" xfId="0" applyNumberFormat="1" applyFill="1" applyAlignment="1">
      <alignment horizontal="right" vertical="top" wrapText="1"/>
    </xf>
    <xf numFmtId="0" fontId="0" fillId="0" borderId="0" xfId="0" applyFill="1" applyAlignment="1">
      <alignment horizontal="left" vertical="top" wrapText="1"/>
    </xf>
    <xf numFmtId="0" fontId="2" fillId="0" borderId="0" xfId="0" applyFont="1" applyBorder="1" applyAlignment="1">
      <alignment horizontal="left" vertical="top" wrapText="1"/>
    </xf>
    <xf numFmtId="0" fontId="7" fillId="0" borderId="0" xfId="0" applyFont="1" applyFill="1" applyAlignment="1">
      <alignment horizontal="left" vertical="top" wrapText="1"/>
    </xf>
    <xf numFmtId="0" fontId="2" fillId="0" borderId="0" xfId="0" applyFont="1" applyFill="1" applyAlignment="1">
      <alignment horizontal="left" vertical="top" wrapText="1"/>
    </xf>
    <xf numFmtId="0" fontId="12" fillId="0" borderId="0" xfId="0" applyFont="1" applyFill="1" applyAlignment="1">
      <alignment horizontal="left" vertical="top" wrapText="1"/>
    </xf>
  </cellXfs>
  <cellStyles count="3">
    <cellStyle name="Comma" xfId="1" builtinId="3"/>
    <cellStyle name="Currency" xfId="2" builtinId="4"/>
    <cellStyle name="Normal" xfId="0" builtinId="0"/>
  </cellStyles>
  <dxfs count="30">
    <dxf>
      <alignment horizontal="right" vertical="top" textRotation="0" wrapText="1" indent="0" justifyLastLine="0" shrinkToFit="0" readingOrder="0"/>
    </dxf>
    <dxf>
      <alignment horizontal="righ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numFmt numFmtId="166" formatCode="[$-409]mmm\ yyyy;@"/>
      <alignment horizontal="left" vertical="top" textRotation="0" wrapText="1" indent="0" justifyLastLine="0" shrinkToFit="0" readingOrder="0"/>
    </dxf>
    <dxf>
      <numFmt numFmtId="166" formatCode="[$-409]mmm\ yyyy;@"/>
      <alignment horizontal="left" vertical="top" textRotation="0" wrapText="1" indent="0" justifyLastLine="0" shrinkToFit="0" readingOrder="0"/>
    </dxf>
    <dxf>
      <numFmt numFmtId="170" formatCode="0.0"/>
      <alignment horizontal="right" vertical="top" textRotation="0" wrapText="1" indent="0" justifyLastLine="0" shrinkToFit="0" readingOrder="0"/>
    </dxf>
    <dxf>
      <numFmt numFmtId="166" formatCode="[$-409]mmm\ yyyy;@"/>
      <alignment horizontal="left" vertical="top" textRotation="0" wrapText="1" indent="0" justifyLastLine="0" shrinkToFit="0" readingOrder="0"/>
    </dxf>
    <dxf>
      <numFmt numFmtId="166" formatCode="[$-409]mmm\ yyyy;@"/>
      <alignment horizontal="left" vertical="top" textRotation="0" wrapText="1" indent="0" justifyLastLine="0" shrinkToFit="0" readingOrder="0"/>
    </dxf>
    <dxf>
      <numFmt numFmtId="166" formatCode="[$-409]mmm\ yyyy;@"/>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font>
        <b/>
      </font>
      <alignment horizontal="left" vertical="top" textRotation="0" wrapText="1" indent="0" justifyLastLine="0" shrinkToFit="0" readingOrder="0"/>
    </dxf>
    <dxf>
      <font>
        <b/>
        <i val="0"/>
        <strike val="0"/>
        <condense val="0"/>
        <extend val="0"/>
        <outline val="0"/>
        <shadow val="0"/>
        <u val="none"/>
        <vertAlign val="baseline"/>
        <sz val="11"/>
        <color theme="1"/>
        <name val="Calibri"/>
        <family val="2"/>
        <scheme val="minor"/>
      </font>
      <alignment horizontal="right" vertical="top" textRotation="0" wrapText="1" indent="0" justifyLastLine="0" shrinkToFit="0" readingOrder="0"/>
    </dxf>
  </dxfs>
  <tableStyles count="0" defaultTableStyle="TableStyleMedium2" defaultPivotStyle="PivotStyleLight16"/>
  <colors>
    <mruColors>
      <color rgb="FFFFE1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person displayName="Jennifer Podulka" id="{E69F04E9-2691-41C6-BF2E-2B864C71ED38}" userId="S::jpodulka@healthmanagement.com::f682b9a3-133e-4aac-a344-e07f4074602a"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8D37FA4-0D22-4B31-9ECD-BE051E9F3750}" name="Table1" displayName="Table1" ref="A1:AE173" totalsRowShown="0" headerRowDxfId="29">
  <autoFilter ref="A1:AE173" xr:uid="{631EC532-E74A-4DB4-A6DB-A1046DB16064}"/>
  <sortState xmlns:xlrd2="http://schemas.microsoft.com/office/spreadsheetml/2017/richdata2" ref="A2:AE173">
    <sortCondition ref="A2:A173"/>
  </sortState>
  <tableColumns count="31">
    <tableColumn id="1" xr3:uid="{F1939952-2527-40F0-8293-785647759930}" name="Model name" dataDxfId="28"/>
    <tableColumn id="2" xr3:uid="{DF95E5E9-9E33-4946-A8EC-223AF3C9CB8E}" name="Category" dataDxfId="27"/>
    <tableColumn id="3" xr3:uid="{B4638705-B155-4ECE-B766-772B72D92902}" name="HCIA &amp; SIM" dataDxfId="26"/>
    <tableColumn id="4" xr3:uid="{EC37DEBF-3EA7-430E-9E97-E61CFF62EAC7}" name="HCIA Category " dataDxfId="25"/>
    <tableColumn id="5" xr3:uid="{2DC0E7C4-1DDB-4ADA-9BCA-3692D2203D5E}" name="HCIA2 Category" dataDxfId="24"/>
    <tableColumn id="6" xr3:uid="{D090D578-63FC-426E-9FC4-6E29B98C50AC}" name="Status as of May 11 2021" dataDxfId="23"/>
    <tableColumn id="7" xr3:uid="{F45BF90B-7864-425A-9591-365BD5C81C45}" name="Announcement date" dataDxfId="22"/>
    <tableColumn id="8" xr3:uid="{35A1A465-7146-4F52-8DDB-1C90F9D6A183}" name="Performance period start (approximate)" dataDxfId="21"/>
    <tableColumn id="9" xr3:uid="{A6321EF2-B045-4BE9-9A5C-F103F91B5B81}" name="Performance period end (approximate)" dataDxfId="20"/>
    <tableColumn id="10" xr3:uid="{68AB5204-F092-4CD4-88D2-8544EF4BCE97}" name="Total performance period in years" dataDxfId="19"/>
    <tableColumn id="11" xr3:uid="{C5F6D9EF-5E7A-4A45-B95B-ADA0E81C5EDC}" name="Model extended?" dataDxfId="18"/>
    <tableColumn id="12" xr3:uid="{4CEF7367-A477-4CF0-8F99-3F633FC03B6D}" name="&quot;Eligible for expansion&quot; to Medicare" dataDxfId="17"/>
    <tableColumn id="13" xr3:uid="{A3E7CF5F-08D8-44C6-894B-26E786BEA3CC}" name="Voluntary vs. mandatory" dataDxfId="16"/>
    <tableColumn id="14" xr3:uid="{213312C9-ED44-436C-A13A-034D89197B2C}" name="Participants" dataDxfId="15"/>
    <tableColumn id="15" xr3:uid="{FB38F853-2957-458E-81B2-5DA0F188033F}" name="Urban/rural scope" dataDxfId="14"/>
    <tableColumn id="16" xr3:uid="{6ABE099D-23B5-44C9-9D0E-C30B7164513D}" name="Regional scope" dataDxfId="13"/>
    <tableColumn id="17" xr3:uid="{A1E975A2-5D08-4310-BE84-E994F5D073A3}" name="Regional scope short" dataDxfId="12"/>
    <tableColumn id="18" xr3:uid="{35D1E713-4699-4412-B830-4CAC6FE4FFA0}" name="Scope of services" dataDxfId="11"/>
    <tableColumn id="19" xr3:uid="{E9072571-5259-4B09-B057-998490C351E6}" name="Other payers" dataDxfId="10"/>
    <tableColumn id="20" xr3:uid="{08AA0075-6D40-44E4-8E9D-403EFA8BD9BC}" name="Qualifies as AAPM?" dataDxfId="9"/>
    <tableColumn id="21" xr3:uid="{A7B012D2-B4BD-4DD3-9A18-373FFCCB6F33}" name="Risk" dataDxfId="8"/>
    <tableColumn id="22" xr3:uid="{CA537460-F405-4026-A792-041F71902B17}" name="Short description" dataDxfId="7"/>
    <tableColumn id="23" xr3:uid="{23CE4DB1-CAC1-4425-A024-14BD74A38A47}" name="Latest evaluation " dataDxfId="6"/>
    <tableColumn id="24" xr3:uid="{C095D10E-D554-484C-91C7-8AB3AD10A8C0}" name="Evaluation findings spending" dataDxfId="5"/>
    <tableColumn id="25" xr3:uid="{F16AB99F-CEED-4C78-8E33-DE3068347C3B}" name="Eval spend short" dataDxfId="4"/>
    <tableColumn id="26" xr3:uid="{3B3507BE-EA3D-4D1B-A1E5-603749771193}" name="Evaluation findings quality" dataDxfId="3"/>
    <tableColumn id="27" xr3:uid="{AF3AFDDB-9CC7-44FF-8999-3441D19934F0}" name="Eval quality short" dataDxfId="2"/>
    <tableColumn id="28" xr3:uid="{A91C79A6-0F10-4FAB-A493-0196CFDA8F0C}" name="Participating sites" dataDxfId="1"/>
    <tableColumn id="29" xr3:uid="{8FC3ADFB-CE6B-40CD-9CCB-2116E1887AA9}" name="Enrolled providers" dataDxfId="0"/>
    <tableColumn id="30" xr3:uid="{F14E3CC9-94EB-417D-811C-7621FB8FD6E3}" name="Estimated enrolled/ attributed beneficiaries"/>
    <tableColumn id="31" xr3:uid="{A7B3261E-8FCC-49B2-92CC-C1CA60C3EBAF}" name="Estimated total payments 2010-2018"/>
  </tableColumns>
  <tableStyleInfo name="TableStyleMedium13"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8" dT="2021-01-22T21:29:05.73" personId="{E69F04E9-2691-41C6-BF2E-2B864C71ED38}" id="{2906B4C3-7740-4C90-B8E0-0879D9ADD4F9}">
    <text>lets use this category for now, later we should see if we can make everything fit into one of the categories above</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9.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CB891B-AA44-4A3D-8236-E618E76C2A18}">
  <dimension ref="A1:M43"/>
  <sheetViews>
    <sheetView topLeftCell="A16" workbookViewId="0">
      <selection activeCell="A39" sqref="A39"/>
    </sheetView>
  </sheetViews>
  <sheetFormatPr defaultRowHeight="15" x14ac:dyDescent="0.25"/>
  <cols>
    <col min="1" max="1" width="182.42578125" customWidth="1"/>
  </cols>
  <sheetData>
    <row r="1" spans="1:13" ht="26.25" x14ac:dyDescent="0.4">
      <c r="A1" s="12" t="s">
        <v>0</v>
      </c>
    </row>
    <row r="2" spans="1:13" x14ac:dyDescent="0.25">
      <c r="A2" t="s">
        <v>1</v>
      </c>
    </row>
    <row r="4" spans="1:13" x14ac:dyDescent="0.25">
      <c r="A4" t="s">
        <v>2</v>
      </c>
    </row>
    <row r="6" spans="1:13" x14ac:dyDescent="0.25">
      <c r="A6" t="s">
        <v>3</v>
      </c>
    </row>
    <row r="8" spans="1:13" x14ac:dyDescent="0.25">
      <c r="A8" t="s">
        <v>4</v>
      </c>
      <c r="F8" s="10"/>
      <c r="G8" s="10"/>
      <c r="H8" s="10"/>
      <c r="I8" s="10"/>
      <c r="J8" s="10"/>
      <c r="K8" s="10"/>
      <c r="L8" s="10"/>
      <c r="M8" s="10"/>
    </row>
    <row r="9" spans="1:13" x14ac:dyDescent="0.25">
      <c r="A9" s="3" t="s">
        <v>5</v>
      </c>
    </row>
    <row r="10" spans="1:13" ht="29.45" customHeight="1" x14ac:dyDescent="0.25">
      <c r="A10" s="1" t="s">
        <v>6</v>
      </c>
    </row>
    <row r="11" spans="1:13" x14ac:dyDescent="0.25">
      <c r="A11" s="3" t="s">
        <v>7</v>
      </c>
    </row>
    <row r="12" spans="1:13" ht="30" x14ac:dyDescent="0.25">
      <c r="A12" s="1" t="s">
        <v>8</v>
      </c>
    </row>
    <row r="13" spans="1:13" ht="30" x14ac:dyDescent="0.25">
      <c r="A13" s="1" t="s">
        <v>9</v>
      </c>
    </row>
    <row r="14" spans="1:13" x14ac:dyDescent="0.25">
      <c r="A14" s="3" t="s">
        <v>10</v>
      </c>
    </row>
    <row r="15" spans="1:13" x14ac:dyDescent="0.25">
      <c r="A15" s="3" t="s">
        <v>11</v>
      </c>
    </row>
    <row r="16" spans="1:13" x14ac:dyDescent="0.25">
      <c r="A16" s="3" t="s">
        <v>12</v>
      </c>
    </row>
    <row r="17" spans="1:1" x14ac:dyDescent="0.25">
      <c r="A17" s="3" t="s">
        <v>13</v>
      </c>
    </row>
    <row r="18" spans="1:1" x14ac:dyDescent="0.25">
      <c r="A18" s="3" t="s">
        <v>14</v>
      </c>
    </row>
    <row r="19" spans="1:1" ht="30" x14ac:dyDescent="0.25">
      <c r="A19" s="1" t="s">
        <v>15</v>
      </c>
    </row>
    <row r="20" spans="1:1" x14ac:dyDescent="0.25">
      <c r="A20" s="3" t="s">
        <v>16</v>
      </c>
    </row>
    <row r="21" spans="1:1" x14ac:dyDescent="0.25">
      <c r="A21" s="3" t="s">
        <v>17</v>
      </c>
    </row>
    <row r="22" spans="1:1" x14ac:dyDescent="0.25">
      <c r="A22" s="3" t="s">
        <v>18</v>
      </c>
    </row>
    <row r="23" spans="1:1" x14ac:dyDescent="0.25">
      <c r="A23" s="3" t="s">
        <v>19</v>
      </c>
    </row>
    <row r="24" spans="1:1" x14ac:dyDescent="0.25">
      <c r="A24" s="3" t="s">
        <v>20</v>
      </c>
    </row>
    <row r="25" spans="1:1" x14ac:dyDescent="0.25">
      <c r="A25" s="3" t="s">
        <v>21</v>
      </c>
    </row>
    <row r="26" spans="1:1" x14ac:dyDescent="0.25">
      <c r="A26" s="3" t="s">
        <v>22</v>
      </c>
    </row>
    <row r="27" spans="1:1" x14ac:dyDescent="0.25">
      <c r="A27" s="3" t="s">
        <v>23</v>
      </c>
    </row>
    <row r="28" spans="1:1" x14ac:dyDescent="0.25">
      <c r="A28" s="3" t="s">
        <v>24</v>
      </c>
    </row>
    <row r="29" spans="1:1" x14ac:dyDescent="0.25">
      <c r="A29" s="3" t="s">
        <v>25</v>
      </c>
    </row>
    <row r="30" spans="1:1" x14ac:dyDescent="0.25">
      <c r="A30" s="3" t="s">
        <v>26</v>
      </c>
    </row>
    <row r="31" spans="1:1" x14ac:dyDescent="0.25">
      <c r="A31" s="3" t="s">
        <v>27</v>
      </c>
    </row>
    <row r="32" spans="1:1" x14ac:dyDescent="0.25">
      <c r="A32" s="3" t="s">
        <v>28</v>
      </c>
    </row>
    <row r="33" spans="1:1" x14ac:dyDescent="0.25">
      <c r="A33" s="3" t="s">
        <v>29</v>
      </c>
    </row>
    <row r="34" spans="1:1" x14ac:dyDescent="0.25">
      <c r="A34" s="3" t="s">
        <v>30</v>
      </c>
    </row>
    <row r="35" spans="1:1" x14ac:dyDescent="0.25">
      <c r="A35" s="3" t="s">
        <v>31</v>
      </c>
    </row>
    <row r="36" spans="1:1" x14ac:dyDescent="0.25">
      <c r="A36" s="3" t="s">
        <v>32</v>
      </c>
    </row>
    <row r="37" spans="1:1" x14ac:dyDescent="0.25">
      <c r="A37" s="3" t="s">
        <v>33</v>
      </c>
    </row>
    <row r="38" spans="1:1" x14ac:dyDescent="0.25">
      <c r="A38" s="3" t="s">
        <v>34</v>
      </c>
    </row>
    <row r="39" spans="1:1" ht="90" x14ac:dyDescent="0.25">
      <c r="A39" s="1" t="s">
        <v>1048</v>
      </c>
    </row>
    <row r="41" spans="1:1" ht="90" x14ac:dyDescent="0.25">
      <c r="A41" s="43" t="s">
        <v>1045</v>
      </c>
    </row>
    <row r="42" spans="1:1" x14ac:dyDescent="0.25">
      <c r="A42" s="16"/>
    </row>
    <row r="43" spans="1:1" x14ac:dyDescent="0.25">
      <c r="A43" t="s">
        <v>35</v>
      </c>
    </row>
  </sheetData>
  <pageMargins left="0.7" right="0.7" top="0.75" bottom="0.75" header="0.3" footer="0.3"/>
  <pageSetup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3C0ADF-31A2-4ACC-95E2-0FCCAA46061A}">
  <dimension ref="A1:A12"/>
  <sheetViews>
    <sheetView workbookViewId="0">
      <selection activeCell="C14" sqref="C14"/>
    </sheetView>
  </sheetViews>
  <sheetFormatPr defaultRowHeight="15" x14ac:dyDescent="0.25"/>
  <cols>
    <col min="1" max="1" width="36.85546875" bestFit="1" customWidth="1"/>
  </cols>
  <sheetData>
    <row r="1" spans="1:1" x14ac:dyDescent="0.25">
      <c r="A1" s="5" t="s">
        <v>182</v>
      </c>
    </row>
    <row r="2" spans="1:1" x14ac:dyDescent="0.25">
      <c r="A2" s="5" t="s">
        <v>76</v>
      </c>
    </row>
    <row r="3" spans="1:1" x14ac:dyDescent="0.25">
      <c r="A3" s="5" t="s">
        <v>1041</v>
      </c>
    </row>
    <row r="4" spans="1:1" x14ac:dyDescent="0.25">
      <c r="A4" s="5" t="s">
        <v>711</v>
      </c>
    </row>
    <row r="5" spans="1:1" x14ac:dyDescent="0.25">
      <c r="A5" s="5" t="s">
        <v>92</v>
      </c>
    </row>
    <row r="6" spans="1:1" x14ac:dyDescent="0.25">
      <c r="A6" s="5" t="s">
        <v>347</v>
      </c>
    </row>
    <row r="7" spans="1:1" x14ac:dyDescent="0.25">
      <c r="A7" s="6" t="s">
        <v>314</v>
      </c>
    </row>
    <row r="8" spans="1:1" x14ac:dyDescent="0.25">
      <c r="A8" s="5" t="s">
        <v>165</v>
      </c>
    </row>
    <row r="9" spans="1:1" x14ac:dyDescent="0.25">
      <c r="A9" s="5" t="s">
        <v>124</v>
      </c>
    </row>
    <row r="10" spans="1:1" x14ac:dyDescent="0.25">
      <c r="A10" s="5" t="s">
        <v>417</v>
      </c>
    </row>
    <row r="11" spans="1:1" x14ac:dyDescent="0.25">
      <c r="A11" s="6" t="s">
        <v>477</v>
      </c>
    </row>
    <row r="12" spans="1:1" x14ac:dyDescent="0.25">
      <c r="A12" s="6" t="s">
        <v>88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8C63E2-740F-4DDC-8A49-AD945A07BFFA}">
  <dimension ref="A1:A8"/>
  <sheetViews>
    <sheetView workbookViewId="0">
      <selection activeCell="A5" sqref="A5"/>
    </sheetView>
  </sheetViews>
  <sheetFormatPr defaultRowHeight="15" x14ac:dyDescent="0.25"/>
  <cols>
    <col min="1" max="1" width="36.85546875" bestFit="1" customWidth="1"/>
  </cols>
  <sheetData>
    <row r="1" spans="1:1" x14ac:dyDescent="0.25">
      <c r="A1" t="s">
        <v>166</v>
      </c>
    </row>
    <row r="2" spans="1:1" x14ac:dyDescent="0.25">
      <c r="A2" s="6" t="s">
        <v>77</v>
      </c>
    </row>
    <row r="3" spans="1:1" x14ac:dyDescent="0.25">
      <c r="A3" s="6" t="s">
        <v>104</v>
      </c>
    </row>
    <row r="4" spans="1:1" x14ac:dyDescent="0.25">
      <c r="A4" s="6" t="s">
        <v>93</v>
      </c>
    </row>
    <row r="5" spans="1:1" x14ac:dyDescent="0.25">
      <c r="A5" s="6" t="s">
        <v>855</v>
      </c>
    </row>
    <row r="6" spans="1:1" x14ac:dyDescent="0.25">
      <c r="A6" s="6" t="s">
        <v>113</v>
      </c>
    </row>
    <row r="7" spans="1:1" x14ac:dyDescent="0.25">
      <c r="A7" s="6" t="s">
        <v>68</v>
      </c>
    </row>
    <row r="8" spans="1:1" x14ac:dyDescent="0.25">
      <c r="A8" s="6" t="s">
        <v>88</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CB9AC3-5989-4701-A214-FF83C256D3C5}">
  <dimension ref="A1:A4"/>
  <sheetViews>
    <sheetView workbookViewId="0">
      <selection activeCell="A7" sqref="A7"/>
    </sheetView>
  </sheetViews>
  <sheetFormatPr defaultRowHeight="15" x14ac:dyDescent="0.25"/>
  <cols>
    <col min="1" max="1" width="25.85546875" customWidth="1"/>
  </cols>
  <sheetData>
    <row r="1" spans="1:1" x14ac:dyDescent="0.25">
      <c r="A1" s="8" t="s">
        <v>101</v>
      </c>
    </row>
    <row r="2" spans="1:1" x14ac:dyDescent="0.25">
      <c r="A2" s="8" t="s">
        <v>70</v>
      </c>
    </row>
    <row r="3" spans="1:1" x14ac:dyDescent="0.25">
      <c r="A3" s="8" t="s">
        <v>85</v>
      </c>
    </row>
    <row r="4" spans="1:1" x14ac:dyDescent="0.25">
      <c r="A4" s="8" t="s">
        <v>88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3D2DE9-5656-4346-A362-5B1036355F30}">
  <dimension ref="A1:A10"/>
  <sheetViews>
    <sheetView workbookViewId="0">
      <selection activeCell="U120" sqref="U120:U219"/>
    </sheetView>
  </sheetViews>
  <sheetFormatPr defaultRowHeight="15" x14ac:dyDescent="0.25"/>
  <sheetData>
    <row r="1" spans="1:1" x14ac:dyDescent="0.25">
      <c r="A1" t="s">
        <v>147</v>
      </c>
    </row>
    <row r="2" spans="1:1" x14ac:dyDescent="0.25">
      <c r="A2" t="s">
        <v>115</v>
      </c>
    </row>
    <row r="3" spans="1:1" x14ac:dyDescent="0.25">
      <c r="A3" t="s">
        <v>175</v>
      </c>
    </row>
    <row r="4" spans="1:1" x14ac:dyDescent="0.25">
      <c r="A4" t="s">
        <v>81</v>
      </c>
    </row>
    <row r="5" spans="1:1" x14ac:dyDescent="0.25">
      <c r="A5" t="s">
        <v>1042</v>
      </c>
    </row>
    <row r="6" spans="1:1" x14ac:dyDescent="0.25">
      <c r="A6" t="s">
        <v>520</v>
      </c>
    </row>
    <row r="7" spans="1:1" x14ac:dyDescent="0.25">
      <c r="A7" t="s">
        <v>1043</v>
      </c>
    </row>
    <row r="8" spans="1:1" x14ac:dyDescent="0.25">
      <c r="A8" t="s">
        <v>477</v>
      </c>
    </row>
    <row r="9" spans="1:1" x14ac:dyDescent="0.25">
      <c r="A9" t="s">
        <v>106</v>
      </c>
    </row>
    <row r="10" spans="1:1" x14ac:dyDescent="0.25">
      <c r="A10" t="s">
        <v>88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B12929-C86B-4672-9C68-1392285EEC12}">
  <dimension ref="A1:A6"/>
  <sheetViews>
    <sheetView workbookViewId="0">
      <selection activeCell="A2" sqref="A2"/>
    </sheetView>
  </sheetViews>
  <sheetFormatPr defaultRowHeight="15" x14ac:dyDescent="0.25"/>
  <cols>
    <col min="1" max="1" width="25.42578125" customWidth="1"/>
  </cols>
  <sheetData>
    <row r="1" spans="1:1" x14ac:dyDescent="0.25">
      <c r="A1" s="4" t="s">
        <v>204</v>
      </c>
    </row>
    <row r="2" spans="1:1" x14ac:dyDescent="0.25">
      <c r="A2" s="4" t="s">
        <v>83</v>
      </c>
    </row>
    <row r="3" spans="1:1" x14ac:dyDescent="0.25">
      <c r="A3" s="4" t="s">
        <v>85</v>
      </c>
    </row>
    <row r="4" spans="1:1" x14ac:dyDescent="0.25">
      <c r="A4" s="4" t="s">
        <v>127</v>
      </c>
    </row>
    <row r="5" spans="1:1" x14ac:dyDescent="0.25">
      <c r="A5" s="4" t="s">
        <v>68</v>
      </c>
    </row>
    <row r="6" spans="1:1" x14ac:dyDescent="0.25">
      <c r="A6" s="4" t="s">
        <v>88</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FEA316-5DF2-4788-B205-E32B0F99D83A}">
  <dimension ref="A1:A6"/>
  <sheetViews>
    <sheetView workbookViewId="0">
      <selection sqref="A1:A6"/>
    </sheetView>
  </sheetViews>
  <sheetFormatPr defaultRowHeight="15" x14ac:dyDescent="0.25"/>
  <cols>
    <col min="1" max="1" width="23.28515625" customWidth="1"/>
  </cols>
  <sheetData>
    <row r="1" spans="1:1" x14ac:dyDescent="0.25">
      <c r="A1" s="4" t="s">
        <v>688</v>
      </c>
    </row>
    <row r="2" spans="1:1" x14ac:dyDescent="0.25">
      <c r="A2" s="4" t="s">
        <v>83</v>
      </c>
    </row>
    <row r="3" spans="1:1" x14ac:dyDescent="0.25">
      <c r="A3" s="4" t="s">
        <v>85</v>
      </c>
    </row>
    <row r="4" spans="1:1" x14ac:dyDescent="0.25">
      <c r="A4" s="4" t="s">
        <v>178</v>
      </c>
    </row>
    <row r="5" spans="1:1" x14ac:dyDescent="0.25">
      <c r="A5" s="4" t="s">
        <v>68</v>
      </c>
    </row>
    <row r="6" spans="1:1" x14ac:dyDescent="0.25">
      <c r="A6" s="4" t="s">
        <v>88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A8334B-BDC2-49B9-811B-F74FF95BA439}">
  <dimension ref="A1:AE173"/>
  <sheetViews>
    <sheetView tabSelected="1" zoomScale="80" zoomScaleNormal="80" workbookViewId="0">
      <pane ySplit="1" topLeftCell="A2" activePane="bottomLeft" state="frozen"/>
      <selection pane="bottomLeft" activeCell="B2" sqref="B2"/>
    </sheetView>
  </sheetViews>
  <sheetFormatPr defaultColWidth="9.140625" defaultRowHeight="15" x14ac:dyDescent="0.25"/>
  <cols>
    <col min="1" max="1" width="22.7109375" style="10" customWidth="1"/>
    <col min="2" max="2" width="17.28515625" style="2" customWidth="1"/>
    <col min="3" max="3" width="13.5703125" style="2" customWidth="1"/>
    <col min="4" max="5" width="17.28515625" style="2" customWidth="1"/>
    <col min="6" max="6" width="15.28515625" style="2" customWidth="1"/>
    <col min="7" max="7" width="15.7109375" style="2" customWidth="1"/>
    <col min="8" max="8" width="18.5703125" style="2" customWidth="1"/>
    <col min="9" max="9" width="18.42578125" style="2" customWidth="1"/>
    <col min="10" max="10" width="20" style="45" customWidth="1"/>
    <col min="11" max="11" width="18.5703125" style="2" customWidth="1"/>
    <col min="12" max="12" width="21.7109375" style="2" customWidth="1"/>
    <col min="13" max="13" width="16" style="2" customWidth="1"/>
    <col min="14" max="14" width="23" style="2" customWidth="1"/>
    <col min="15" max="15" width="20.42578125" style="2" customWidth="1"/>
    <col min="16" max="16" width="23" style="2" customWidth="1"/>
    <col min="17" max="17" width="14.28515625" style="2" customWidth="1"/>
    <col min="18" max="18" width="18.42578125" style="2" customWidth="1"/>
    <col min="19" max="19" width="15.7109375" style="2" customWidth="1"/>
    <col min="20" max="20" width="20.5703125" style="2" customWidth="1"/>
    <col min="21" max="21" width="11.85546875" style="2" customWidth="1"/>
    <col min="22" max="22" width="68" style="2" customWidth="1"/>
    <col min="23" max="23" width="19" style="2" customWidth="1"/>
    <col min="24" max="24" width="41.42578125" style="2" customWidth="1"/>
    <col min="25" max="25" width="23.7109375" style="2" customWidth="1"/>
    <col min="26" max="26" width="44.28515625" style="2" customWidth="1"/>
    <col min="27" max="27" width="21.85546875" style="2" customWidth="1"/>
    <col min="28" max="28" width="17" style="26" customWidth="1"/>
    <col min="29" max="29" width="19.140625" style="26" customWidth="1"/>
    <col min="30" max="30" width="20.28515625" style="26" customWidth="1"/>
    <col min="31" max="31" width="24.7109375" style="26" customWidth="1"/>
    <col min="32" max="16384" width="9.140625" style="2"/>
  </cols>
  <sheetData>
    <row r="1" spans="1:31" s="10" customFormat="1" ht="51.75" customHeight="1" x14ac:dyDescent="0.25">
      <c r="A1" s="10" t="s">
        <v>36</v>
      </c>
      <c r="B1" s="10" t="s">
        <v>37</v>
      </c>
      <c r="C1" s="10" t="s">
        <v>38</v>
      </c>
      <c r="D1" s="10" t="s">
        <v>39</v>
      </c>
      <c r="E1" s="10" t="s">
        <v>40</v>
      </c>
      <c r="F1" s="10" t="s">
        <v>41</v>
      </c>
      <c r="G1" s="10" t="s">
        <v>42</v>
      </c>
      <c r="H1" s="10" t="s">
        <v>1046</v>
      </c>
      <c r="I1" s="10" t="s">
        <v>1047</v>
      </c>
      <c r="J1" s="44" t="s">
        <v>1044</v>
      </c>
      <c r="K1" s="10" t="s">
        <v>43</v>
      </c>
      <c r="L1" s="10" t="s">
        <v>44</v>
      </c>
      <c r="M1" s="10" t="s">
        <v>45</v>
      </c>
      <c r="N1" s="10" t="s">
        <v>46</v>
      </c>
      <c r="O1" s="10" t="s">
        <v>47</v>
      </c>
      <c r="P1" s="10" t="s">
        <v>48</v>
      </c>
      <c r="Q1" s="10" t="s">
        <v>49</v>
      </c>
      <c r="R1" s="10" t="s">
        <v>50</v>
      </c>
      <c r="S1" s="10" t="s">
        <v>51</v>
      </c>
      <c r="T1" s="10" t="s">
        <v>52</v>
      </c>
      <c r="U1" s="10" t="s">
        <v>53</v>
      </c>
      <c r="V1" s="10" t="s">
        <v>54</v>
      </c>
      <c r="W1" s="10" t="s">
        <v>55</v>
      </c>
      <c r="X1" s="10" t="s">
        <v>56</v>
      </c>
      <c r="Y1" s="10" t="s">
        <v>57</v>
      </c>
      <c r="Z1" s="10" t="s">
        <v>58</v>
      </c>
      <c r="AA1" s="10" t="s">
        <v>59</v>
      </c>
      <c r="AB1" s="25" t="s">
        <v>60</v>
      </c>
      <c r="AC1" s="25" t="s">
        <v>61</v>
      </c>
      <c r="AD1" s="25" t="s">
        <v>62</v>
      </c>
      <c r="AE1" s="25" t="s">
        <v>63</v>
      </c>
    </row>
    <row r="2" spans="1:31" ht="75" x14ac:dyDescent="0.25">
      <c r="A2" s="10" t="s">
        <v>64</v>
      </c>
      <c r="B2" s="2" t="s">
        <v>65</v>
      </c>
      <c r="C2" s="2" t="s">
        <v>66</v>
      </c>
      <c r="D2" s="2" t="s">
        <v>67</v>
      </c>
      <c r="E2" s="2" t="s">
        <v>68</v>
      </c>
      <c r="F2" s="2" t="s">
        <v>69</v>
      </c>
      <c r="G2" s="9">
        <v>41061</v>
      </c>
      <c r="H2" s="9">
        <v>41157</v>
      </c>
      <c r="I2" s="9">
        <v>42156</v>
      </c>
      <c r="J2" s="45">
        <f>((DAYS360(H2,I2))+30)/360</f>
        <v>2.8222222222222224</v>
      </c>
      <c r="K2" s="9" t="s">
        <v>70</v>
      </c>
      <c r="L2" s="9" t="s">
        <v>70</v>
      </c>
      <c r="M2" s="2" t="s">
        <v>71</v>
      </c>
      <c r="N2" s="2" t="s">
        <v>72</v>
      </c>
      <c r="O2" s="2" t="s">
        <v>73</v>
      </c>
      <c r="P2" s="2" t="s">
        <v>74</v>
      </c>
      <c r="Q2" s="2" t="s">
        <v>75</v>
      </c>
      <c r="R2" s="2" t="s">
        <v>76</v>
      </c>
      <c r="S2" s="2" t="s">
        <v>77</v>
      </c>
      <c r="T2" s="2" t="s">
        <v>78</v>
      </c>
      <c r="U2" s="2" t="s">
        <v>79</v>
      </c>
      <c r="V2" s="2" t="s">
        <v>80</v>
      </c>
      <c r="W2" s="2" t="s">
        <v>81</v>
      </c>
      <c r="X2" s="2" t="s">
        <v>82</v>
      </c>
      <c r="Y2" s="2" t="s">
        <v>83</v>
      </c>
      <c r="Z2" s="2" t="s">
        <v>84</v>
      </c>
      <c r="AA2" s="2" t="s">
        <v>85</v>
      </c>
      <c r="AB2" s="26">
        <v>1</v>
      </c>
      <c r="AC2" s="26" t="s">
        <v>68</v>
      </c>
      <c r="AD2" s="26">
        <v>601</v>
      </c>
      <c r="AE2" s="27">
        <v>1270845</v>
      </c>
    </row>
    <row r="3" spans="1:31" ht="120" x14ac:dyDescent="0.25">
      <c r="A3" s="10" t="s">
        <v>86</v>
      </c>
      <c r="B3" s="2" t="s">
        <v>65</v>
      </c>
      <c r="C3" s="2" t="s">
        <v>66</v>
      </c>
      <c r="D3" s="2" t="s">
        <v>87</v>
      </c>
      <c r="E3" s="2" t="s">
        <v>68</v>
      </c>
      <c r="F3" s="2" t="s">
        <v>69</v>
      </c>
      <c r="G3" s="9">
        <v>41061</v>
      </c>
      <c r="H3" s="9">
        <v>41062</v>
      </c>
      <c r="I3" s="9">
        <v>42156</v>
      </c>
      <c r="J3" s="45">
        <f>((DAYS360(H3,I3))+30)/360</f>
        <v>3.0805555555555557</v>
      </c>
      <c r="K3" s="9" t="s">
        <v>70</v>
      </c>
      <c r="L3" s="9" t="s">
        <v>70</v>
      </c>
      <c r="M3" s="2" t="s">
        <v>71</v>
      </c>
      <c r="N3" s="2" t="s">
        <v>88</v>
      </c>
      <c r="O3" s="2" t="s">
        <v>89</v>
      </c>
      <c r="P3" s="2" t="s">
        <v>90</v>
      </c>
      <c r="Q3" s="2" t="s">
        <v>91</v>
      </c>
      <c r="R3" s="2" t="s">
        <v>92</v>
      </c>
      <c r="S3" s="2" t="s">
        <v>93</v>
      </c>
      <c r="T3" s="2" t="s">
        <v>78</v>
      </c>
      <c r="U3" s="2" t="s">
        <v>79</v>
      </c>
      <c r="V3" s="2" t="s">
        <v>94</v>
      </c>
      <c r="W3" s="2" t="s">
        <v>81</v>
      </c>
      <c r="X3" s="2" t="s">
        <v>95</v>
      </c>
      <c r="Y3" s="2" t="s">
        <v>83</v>
      </c>
      <c r="Z3" s="2" t="s">
        <v>96</v>
      </c>
      <c r="AA3" s="2" t="s">
        <v>83</v>
      </c>
      <c r="AB3" s="26" t="s">
        <v>68</v>
      </c>
      <c r="AC3" s="26" t="s">
        <v>68</v>
      </c>
      <c r="AD3" s="28">
        <v>658</v>
      </c>
      <c r="AE3" s="29">
        <v>4841221</v>
      </c>
    </row>
    <row r="4" spans="1:31" ht="121.5" customHeight="1" x14ac:dyDescent="0.25">
      <c r="A4" s="10" t="s">
        <v>97</v>
      </c>
      <c r="B4" s="2" t="s">
        <v>65</v>
      </c>
      <c r="C4" s="2" t="s">
        <v>98</v>
      </c>
      <c r="D4" s="2" t="s">
        <v>68</v>
      </c>
      <c r="E4" s="2" t="s">
        <v>99</v>
      </c>
      <c r="F4" s="2" t="s">
        <v>100</v>
      </c>
      <c r="G4" s="9">
        <v>41395</v>
      </c>
      <c r="H4" s="9">
        <v>42128</v>
      </c>
      <c r="I4" s="9">
        <v>43342</v>
      </c>
      <c r="J4" s="45">
        <f t="shared" ref="J4:J13" si="0">((DAYS360(H4,I4))+30)/360</f>
        <v>3.4055555555555554</v>
      </c>
      <c r="K4" s="9" t="s">
        <v>101</v>
      </c>
      <c r="L4" s="9" t="s">
        <v>70</v>
      </c>
      <c r="M4" s="2" t="s">
        <v>71</v>
      </c>
      <c r="N4" s="2" t="s">
        <v>102</v>
      </c>
      <c r="O4" s="2" t="s">
        <v>103</v>
      </c>
      <c r="P4" s="2" t="s">
        <v>74</v>
      </c>
      <c r="Q4" s="2" t="s">
        <v>75</v>
      </c>
      <c r="R4" s="2" t="s">
        <v>92</v>
      </c>
      <c r="S4" s="2" t="s">
        <v>104</v>
      </c>
      <c r="T4" s="2" t="s">
        <v>70</v>
      </c>
      <c r="U4" s="2" t="s">
        <v>79</v>
      </c>
      <c r="V4" s="2" t="s">
        <v>105</v>
      </c>
      <c r="W4" s="2" t="s">
        <v>106</v>
      </c>
      <c r="X4" s="2" t="s">
        <v>107</v>
      </c>
      <c r="Y4" s="2" t="s">
        <v>83</v>
      </c>
      <c r="Z4" s="2" t="s">
        <v>108</v>
      </c>
      <c r="AA4" s="2" t="s">
        <v>83</v>
      </c>
      <c r="AB4" s="26">
        <v>18</v>
      </c>
      <c r="AC4" s="26" t="s">
        <v>68</v>
      </c>
      <c r="AD4" s="30">
        <v>2545</v>
      </c>
      <c r="AE4" s="31">
        <v>15042466</v>
      </c>
    </row>
    <row r="5" spans="1:31" ht="105" x14ac:dyDescent="0.25">
      <c r="A5" s="10" t="s">
        <v>109</v>
      </c>
      <c r="B5" s="2" t="s">
        <v>65</v>
      </c>
      <c r="C5" s="2" t="s">
        <v>68</v>
      </c>
      <c r="D5" s="2" t="s">
        <v>68</v>
      </c>
      <c r="E5" s="2" t="s">
        <v>68</v>
      </c>
      <c r="F5" s="2" t="s">
        <v>100</v>
      </c>
      <c r="G5" s="9">
        <v>42370</v>
      </c>
      <c r="H5" s="9">
        <v>42856</v>
      </c>
      <c r="I5" s="9">
        <v>44652</v>
      </c>
      <c r="J5" s="45">
        <f t="shared" si="0"/>
        <v>5</v>
      </c>
      <c r="K5" s="9" t="s">
        <v>88</v>
      </c>
      <c r="L5" s="9" t="s">
        <v>70</v>
      </c>
      <c r="M5" s="2" t="s">
        <v>71</v>
      </c>
      <c r="N5" s="2" t="s">
        <v>110</v>
      </c>
      <c r="O5" s="2" t="s">
        <v>103</v>
      </c>
      <c r="P5" s="2" t="s">
        <v>111</v>
      </c>
      <c r="Q5" s="2" t="s">
        <v>112</v>
      </c>
      <c r="R5" s="2" t="s">
        <v>113</v>
      </c>
      <c r="S5" s="2" t="s">
        <v>77</v>
      </c>
      <c r="T5" s="2" t="s">
        <v>78</v>
      </c>
      <c r="U5" s="2" t="s">
        <v>79</v>
      </c>
      <c r="V5" s="2" t="s">
        <v>114</v>
      </c>
      <c r="W5" s="2" t="s">
        <v>115</v>
      </c>
      <c r="X5" s="2" t="s">
        <v>116</v>
      </c>
      <c r="Y5" s="2" t="s">
        <v>83</v>
      </c>
      <c r="Z5" s="2" t="s">
        <v>117</v>
      </c>
      <c r="AA5" s="2" t="s">
        <v>83</v>
      </c>
      <c r="AB5" s="26">
        <v>29</v>
      </c>
      <c r="AC5" s="26" t="s">
        <v>88</v>
      </c>
      <c r="AD5" s="30">
        <v>500000</v>
      </c>
      <c r="AE5" s="32">
        <f>45436010+14411200</f>
        <v>59847210</v>
      </c>
    </row>
    <row r="6" spans="1:31" ht="90" x14ac:dyDescent="0.25">
      <c r="A6" s="10" t="s">
        <v>118</v>
      </c>
      <c r="B6" s="2" t="s">
        <v>119</v>
      </c>
      <c r="C6" s="2" t="s">
        <v>68</v>
      </c>
      <c r="D6" s="2" t="s">
        <v>68</v>
      </c>
      <c r="E6" s="2" t="s">
        <v>68</v>
      </c>
      <c r="F6" s="2" t="s">
        <v>69</v>
      </c>
      <c r="G6" s="9">
        <v>41913</v>
      </c>
      <c r="H6" s="9">
        <v>42095</v>
      </c>
      <c r="I6" s="9">
        <v>43435</v>
      </c>
      <c r="J6" s="45">
        <f t="shared" si="0"/>
        <v>3.75</v>
      </c>
      <c r="K6" s="9" t="s">
        <v>70</v>
      </c>
      <c r="L6" s="9" t="s">
        <v>70</v>
      </c>
      <c r="M6" s="2" t="s">
        <v>120</v>
      </c>
      <c r="N6" s="2" t="s">
        <v>121</v>
      </c>
      <c r="O6" s="2" t="s">
        <v>73</v>
      </c>
      <c r="P6" s="2" t="s">
        <v>122</v>
      </c>
      <c r="Q6" s="2" t="s">
        <v>123</v>
      </c>
      <c r="R6" s="2" t="s">
        <v>124</v>
      </c>
      <c r="S6" s="2" t="s">
        <v>68</v>
      </c>
      <c r="T6" s="2" t="s">
        <v>103</v>
      </c>
      <c r="U6" s="2" t="s">
        <v>85</v>
      </c>
      <c r="V6" s="2" t="s">
        <v>125</v>
      </c>
      <c r="W6" s="2" t="s">
        <v>106</v>
      </c>
      <c r="X6" s="2" t="s">
        <v>126</v>
      </c>
      <c r="Y6" s="2" t="s">
        <v>127</v>
      </c>
      <c r="Z6" s="2" t="s">
        <v>128</v>
      </c>
      <c r="AA6" s="2" t="s">
        <v>83</v>
      </c>
      <c r="AB6" s="26">
        <v>45</v>
      </c>
      <c r="AC6" s="30">
        <v>1200</v>
      </c>
      <c r="AD6" s="30">
        <v>492114</v>
      </c>
      <c r="AE6" s="32">
        <f>96694886+45819946+13766305</f>
        <v>156281137</v>
      </c>
    </row>
    <row r="7" spans="1:31" ht="60" x14ac:dyDescent="0.25">
      <c r="A7" s="10" t="s">
        <v>129</v>
      </c>
      <c r="B7" s="2" t="s">
        <v>119</v>
      </c>
      <c r="C7" s="2" t="s">
        <v>68</v>
      </c>
      <c r="D7" s="2" t="s">
        <v>68</v>
      </c>
      <c r="E7" s="2" t="s">
        <v>68</v>
      </c>
      <c r="F7" s="2" t="s">
        <v>69</v>
      </c>
      <c r="G7" s="9">
        <v>40848</v>
      </c>
      <c r="H7" s="9">
        <v>41000</v>
      </c>
      <c r="I7" s="9">
        <v>42339</v>
      </c>
      <c r="J7" s="45">
        <f t="shared" si="0"/>
        <v>3.75</v>
      </c>
      <c r="K7" s="9" t="s">
        <v>70</v>
      </c>
      <c r="L7" s="9" t="s">
        <v>70</v>
      </c>
      <c r="M7" s="2" t="s">
        <v>71</v>
      </c>
      <c r="N7" s="2" t="s">
        <v>130</v>
      </c>
      <c r="O7" s="2" t="s">
        <v>103</v>
      </c>
      <c r="P7" s="2" t="s">
        <v>131</v>
      </c>
      <c r="Q7" s="2" t="s">
        <v>132</v>
      </c>
      <c r="R7" s="2" t="s">
        <v>92</v>
      </c>
      <c r="S7" s="2" t="s">
        <v>68</v>
      </c>
      <c r="T7" s="2" t="s">
        <v>133</v>
      </c>
      <c r="U7" s="2" t="s">
        <v>85</v>
      </c>
      <c r="V7" s="2" t="s">
        <v>134</v>
      </c>
      <c r="W7" s="2" t="s">
        <v>106</v>
      </c>
      <c r="X7" s="2" t="s">
        <v>135</v>
      </c>
      <c r="Y7" s="2" t="s">
        <v>83</v>
      </c>
      <c r="Z7" s="2" t="s">
        <v>135</v>
      </c>
      <c r="AA7" s="2" t="s">
        <v>83</v>
      </c>
      <c r="AB7" s="26">
        <v>35</v>
      </c>
      <c r="AC7" s="26" t="s">
        <v>88</v>
      </c>
      <c r="AD7" s="30">
        <v>288278</v>
      </c>
      <c r="AE7" s="32">
        <f>67801572+181166101+5885707</f>
        <v>254853380</v>
      </c>
    </row>
    <row r="8" spans="1:31" ht="93.75" customHeight="1" x14ac:dyDescent="0.25">
      <c r="A8" s="10" t="s">
        <v>136</v>
      </c>
      <c r="B8" s="2" t="s">
        <v>65</v>
      </c>
      <c r="C8" s="2" t="s">
        <v>66</v>
      </c>
      <c r="D8" s="2" t="s">
        <v>137</v>
      </c>
      <c r="E8" s="2" t="s">
        <v>68</v>
      </c>
      <c r="F8" s="2" t="s">
        <v>69</v>
      </c>
      <c r="G8" s="9">
        <v>41061</v>
      </c>
      <c r="H8" s="9">
        <v>41091</v>
      </c>
      <c r="I8" s="9">
        <v>42185</v>
      </c>
      <c r="J8" s="45">
        <f t="shared" si="0"/>
        <v>3.0805555555555557</v>
      </c>
      <c r="K8" s="9" t="s">
        <v>70</v>
      </c>
      <c r="L8" s="9" t="s">
        <v>70</v>
      </c>
      <c r="M8" s="2" t="s">
        <v>71</v>
      </c>
      <c r="N8" s="2" t="s">
        <v>138</v>
      </c>
      <c r="O8" s="2" t="s">
        <v>103</v>
      </c>
      <c r="P8" s="2" t="s">
        <v>139</v>
      </c>
      <c r="Q8" s="2" t="s">
        <v>75</v>
      </c>
      <c r="R8" s="2" t="s">
        <v>92</v>
      </c>
      <c r="S8" s="2" t="s">
        <v>68</v>
      </c>
      <c r="T8" s="2" t="s">
        <v>78</v>
      </c>
      <c r="U8" s="2" t="s">
        <v>79</v>
      </c>
      <c r="V8" s="2" t="s">
        <v>140</v>
      </c>
      <c r="W8" s="2" t="s">
        <v>81</v>
      </c>
      <c r="X8" s="2" t="s">
        <v>141</v>
      </c>
      <c r="Y8" s="2" t="s">
        <v>127</v>
      </c>
      <c r="Z8" s="2" t="s">
        <v>142</v>
      </c>
      <c r="AA8" s="2" t="s">
        <v>85</v>
      </c>
      <c r="AB8" s="26">
        <v>11</v>
      </c>
      <c r="AC8" s="26" t="s">
        <v>68</v>
      </c>
      <c r="AD8" s="26">
        <v>9406</v>
      </c>
      <c r="AE8" s="27">
        <v>13000000</v>
      </c>
    </row>
    <row r="9" spans="1:31" ht="150" x14ac:dyDescent="0.25">
      <c r="A9" s="10" t="s">
        <v>143</v>
      </c>
      <c r="B9" s="2" t="s">
        <v>65</v>
      </c>
      <c r="C9" s="2" t="s">
        <v>68</v>
      </c>
      <c r="D9" s="2" t="s">
        <v>68</v>
      </c>
      <c r="E9" s="2" t="s">
        <v>68</v>
      </c>
      <c r="F9" s="2" t="s">
        <v>69</v>
      </c>
      <c r="G9" s="9">
        <v>43617</v>
      </c>
      <c r="H9" s="9">
        <v>43739</v>
      </c>
      <c r="I9" s="9">
        <v>44287</v>
      </c>
      <c r="J9" s="45">
        <f t="shared" si="0"/>
        <v>1.5833333333333333</v>
      </c>
      <c r="K9" s="9" t="s">
        <v>144</v>
      </c>
      <c r="L9" s="9" t="s">
        <v>70</v>
      </c>
      <c r="M9" s="2" t="s">
        <v>71</v>
      </c>
      <c r="N9" s="2" t="s">
        <v>145</v>
      </c>
      <c r="O9" s="2" t="s">
        <v>88</v>
      </c>
      <c r="P9" s="2" t="s">
        <v>79</v>
      </c>
      <c r="Q9" s="2" t="s">
        <v>79</v>
      </c>
      <c r="R9" s="2" t="s">
        <v>92</v>
      </c>
      <c r="S9" s="2" t="s">
        <v>68</v>
      </c>
      <c r="T9" s="2" t="s">
        <v>78</v>
      </c>
      <c r="U9" s="2" t="s">
        <v>79</v>
      </c>
      <c r="V9" s="2" t="s">
        <v>146</v>
      </c>
      <c r="W9" s="2" t="s">
        <v>147</v>
      </c>
      <c r="X9" s="2" t="s">
        <v>147</v>
      </c>
      <c r="Y9" s="2" t="s">
        <v>147</v>
      </c>
      <c r="Z9" s="2" t="s">
        <v>147</v>
      </c>
      <c r="AA9" s="2" t="s">
        <v>147</v>
      </c>
      <c r="AB9" s="26">
        <v>7</v>
      </c>
      <c r="AC9" s="26" t="s">
        <v>79</v>
      </c>
      <c r="AD9" s="26" t="s">
        <v>79</v>
      </c>
      <c r="AE9" s="26" t="s">
        <v>79</v>
      </c>
    </row>
    <row r="10" spans="1:31" ht="105" x14ac:dyDescent="0.25">
      <c r="A10" s="10" t="s">
        <v>148</v>
      </c>
      <c r="B10" s="2" t="s">
        <v>65</v>
      </c>
      <c r="C10" s="2" t="s">
        <v>98</v>
      </c>
      <c r="D10" s="2" t="s">
        <v>68</v>
      </c>
      <c r="E10" s="51" t="s">
        <v>99</v>
      </c>
      <c r="F10" s="2" t="s">
        <v>100</v>
      </c>
      <c r="G10" s="9">
        <v>41395</v>
      </c>
      <c r="H10" s="9">
        <v>41944</v>
      </c>
      <c r="I10" s="9">
        <v>42979</v>
      </c>
      <c r="J10" s="45">
        <f t="shared" si="0"/>
        <v>2.9166666666666665</v>
      </c>
      <c r="K10" s="9" t="s">
        <v>70</v>
      </c>
      <c r="L10" s="9" t="s">
        <v>70</v>
      </c>
      <c r="M10" s="2" t="s">
        <v>71</v>
      </c>
      <c r="N10" s="2" t="s">
        <v>149</v>
      </c>
      <c r="O10" s="2" t="s">
        <v>103</v>
      </c>
      <c r="P10" s="2" t="s">
        <v>150</v>
      </c>
      <c r="Q10" s="2" t="s">
        <v>91</v>
      </c>
      <c r="R10" s="2" t="s">
        <v>92</v>
      </c>
      <c r="S10" s="2" t="s">
        <v>68</v>
      </c>
      <c r="T10" s="2" t="s">
        <v>70</v>
      </c>
      <c r="U10" s="2" t="s">
        <v>79</v>
      </c>
      <c r="V10" s="2" t="s">
        <v>151</v>
      </c>
      <c r="W10" s="2" t="s">
        <v>106</v>
      </c>
      <c r="X10" s="2" t="s">
        <v>152</v>
      </c>
      <c r="Y10" s="2" t="s">
        <v>127</v>
      </c>
      <c r="Z10" s="2" t="s">
        <v>153</v>
      </c>
      <c r="AA10" s="2" t="s">
        <v>85</v>
      </c>
      <c r="AB10" s="26">
        <v>53</v>
      </c>
      <c r="AC10" s="26" t="s">
        <v>68</v>
      </c>
      <c r="AD10" s="30">
        <v>11192</v>
      </c>
      <c r="AE10" s="31">
        <v>8827572</v>
      </c>
    </row>
    <row r="11" spans="1:31" ht="105" x14ac:dyDescent="0.25">
      <c r="A11" s="10" t="s">
        <v>154</v>
      </c>
      <c r="B11" s="2" t="s">
        <v>65</v>
      </c>
      <c r="C11" s="2" t="s">
        <v>98</v>
      </c>
      <c r="D11" s="2" t="s">
        <v>68</v>
      </c>
      <c r="E11" s="2" t="s">
        <v>155</v>
      </c>
      <c r="F11" s="2" t="s">
        <v>100</v>
      </c>
      <c r="G11" s="9">
        <v>41395</v>
      </c>
      <c r="H11" s="9">
        <v>42036</v>
      </c>
      <c r="I11" s="9">
        <v>42979</v>
      </c>
      <c r="J11" s="45">
        <f t="shared" si="0"/>
        <v>2.6666666666666665</v>
      </c>
      <c r="K11" s="9" t="s">
        <v>70</v>
      </c>
      <c r="L11" s="9" t="s">
        <v>70</v>
      </c>
      <c r="M11" s="2" t="s">
        <v>71</v>
      </c>
      <c r="N11" s="2" t="s">
        <v>156</v>
      </c>
      <c r="O11" s="2" t="s">
        <v>103</v>
      </c>
      <c r="P11" s="2" t="s">
        <v>157</v>
      </c>
      <c r="Q11" s="2" t="s">
        <v>75</v>
      </c>
      <c r="R11" s="2" t="s">
        <v>92</v>
      </c>
      <c r="S11" s="2" t="s">
        <v>77</v>
      </c>
      <c r="T11" s="2" t="s">
        <v>70</v>
      </c>
      <c r="U11" s="2" t="s">
        <v>79</v>
      </c>
      <c r="V11" s="2" t="s">
        <v>158</v>
      </c>
      <c r="W11" s="2" t="s">
        <v>106</v>
      </c>
      <c r="X11" s="2" t="s">
        <v>159</v>
      </c>
      <c r="Y11" s="2" t="s">
        <v>83</v>
      </c>
      <c r="Z11" s="2" t="s">
        <v>160</v>
      </c>
      <c r="AA11" s="2" t="s">
        <v>83</v>
      </c>
      <c r="AB11" s="26">
        <v>36</v>
      </c>
      <c r="AC11" s="26" t="s">
        <v>68</v>
      </c>
      <c r="AD11" s="30">
        <v>1472</v>
      </c>
      <c r="AE11" s="31">
        <v>6034888</v>
      </c>
    </row>
    <row r="12" spans="1:31" ht="105" x14ac:dyDescent="0.25">
      <c r="A12" s="10" t="s">
        <v>161</v>
      </c>
      <c r="B12" s="2" t="s">
        <v>65</v>
      </c>
      <c r="C12" s="2" t="s">
        <v>66</v>
      </c>
      <c r="D12" s="2" t="s">
        <v>162</v>
      </c>
      <c r="E12" s="2" t="s">
        <v>68</v>
      </c>
      <c r="F12" s="2" t="s">
        <v>69</v>
      </c>
      <c r="G12" s="9">
        <v>41061</v>
      </c>
      <c r="H12" s="9">
        <v>41091</v>
      </c>
      <c r="I12" s="9">
        <v>42156</v>
      </c>
      <c r="J12" s="45">
        <f t="shared" si="0"/>
        <v>3</v>
      </c>
      <c r="K12" s="9" t="s">
        <v>70</v>
      </c>
      <c r="L12" s="9" t="s">
        <v>70</v>
      </c>
      <c r="M12" s="2" t="s">
        <v>71</v>
      </c>
      <c r="N12" s="2" t="s">
        <v>163</v>
      </c>
      <c r="O12" s="2" t="s">
        <v>73</v>
      </c>
      <c r="P12" s="2" t="s">
        <v>164</v>
      </c>
      <c r="Q12" s="2" t="s">
        <v>75</v>
      </c>
      <c r="R12" s="2" t="s">
        <v>165</v>
      </c>
      <c r="S12" s="2" t="s">
        <v>166</v>
      </c>
      <c r="T12" s="2" t="s">
        <v>78</v>
      </c>
      <c r="U12" s="2" t="s">
        <v>79</v>
      </c>
      <c r="V12" s="2" t="s">
        <v>167</v>
      </c>
      <c r="W12" s="2" t="s">
        <v>81</v>
      </c>
      <c r="X12" s="2" t="s">
        <v>168</v>
      </c>
      <c r="Y12" s="2" t="s">
        <v>83</v>
      </c>
      <c r="Z12" s="2" t="s">
        <v>169</v>
      </c>
      <c r="AA12" s="2" t="s">
        <v>85</v>
      </c>
      <c r="AB12" s="26">
        <v>2</v>
      </c>
      <c r="AC12" s="26" t="s">
        <v>68</v>
      </c>
      <c r="AD12" s="30">
        <v>3881</v>
      </c>
      <c r="AE12" s="29">
        <v>3169386</v>
      </c>
    </row>
    <row r="13" spans="1:31" ht="90" x14ac:dyDescent="0.25">
      <c r="A13" s="10" t="s">
        <v>170</v>
      </c>
      <c r="B13" s="2" t="s">
        <v>65</v>
      </c>
      <c r="C13" s="2" t="s">
        <v>66</v>
      </c>
      <c r="D13" s="2" t="s">
        <v>171</v>
      </c>
      <c r="E13" s="2" t="s">
        <v>68</v>
      </c>
      <c r="F13" s="2" t="s">
        <v>69</v>
      </c>
      <c r="G13" s="9">
        <v>41061</v>
      </c>
      <c r="H13" s="9">
        <v>41061</v>
      </c>
      <c r="I13" s="9">
        <v>42551</v>
      </c>
      <c r="J13" s="45">
        <f t="shared" si="0"/>
        <v>4.1638888888888888</v>
      </c>
      <c r="K13" s="9" t="s">
        <v>101</v>
      </c>
      <c r="L13" s="9" t="s">
        <v>70</v>
      </c>
      <c r="M13" s="2" t="s">
        <v>71</v>
      </c>
      <c r="N13" s="2" t="s">
        <v>172</v>
      </c>
      <c r="O13" s="2" t="s">
        <v>89</v>
      </c>
      <c r="P13" s="2" t="s">
        <v>173</v>
      </c>
      <c r="Q13" s="2" t="s">
        <v>75</v>
      </c>
      <c r="R13" s="2" t="s">
        <v>92</v>
      </c>
      <c r="S13" s="2" t="s">
        <v>68</v>
      </c>
      <c r="T13" s="2" t="s">
        <v>78</v>
      </c>
      <c r="U13" s="2" t="s">
        <v>79</v>
      </c>
      <c r="V13" s="2" t="s">
        <v>174</v>
      </c>
      <c r="W13" s="2" t="s">
        <v>175</v>
      </c>
      <c r="X13" s="2" t="s">
        <v>176</v>
      </c>
      <c r="Y13" s="2" t="s">
        <v>83</v>
      </c>
      <c r="Z13" s="2" t="s">
        <v>177</v>
      </c>
      <c r="AA13" s="2" t="s">
        <v>178</v>
      </c>
      <c r="AB13" s="26">
        <v>1</v>
      </c>
      <c r="AC13" s="26">
        <v>17</v>
      </c>
      <c r="AD13" s="26">
        <v>3601</v>
      </c>
      <c r="AE13" s="33">
        <v>9999999</v>
      </c>
    </row>
    <row r="14" spans="1:31" ht="165" x14ac:dyDescent="0.25">
      <c r="A14" s="52" t="s">
        <v>179</v>
      </c>
      <c r="B14" s="2" t="s">
        <v>65</v>
      </c>
      <c r="C14" s="2" t="s">
        <v>66</v>
      </c>
      <c r="D14" s="2" t="s">
        <v>137</v>
      </c>
      <c r="E14" s="2" t="s">
        <v>68</v>
      </c>
      <c r="F14" s="2" t="s">
        <v>69</v>
      </c>
      <c r="G14" s="9">
        <v>41061</v>
      </c>
      <c r="H14" s="9">
        <v>41243</v>
      </c>
      <c r="I14" s="9">
        <v>42551</v>
      </c>
      <c r="J14" s="45">
        <f t="shared" ref="J14:J31" si="1">((DAYS360(H14,I14))+30)/360</f>
        <v>3.6666666666666665</v>
      </c>
      <c r="K14" s="9" t="s">
        <v>70</v>
      </c>
      <c r="L14" s="9" t="s">
        <v>70</v>
      </c>
      <c r="M14" s="2" t="s">
        <v>71</v>
      </c>
      <c r="N14" s="2" t="s">
        <v>180</v>
      </c>
      <c r="O14" s="2" t="s">
        <v>103</v>
      </c>
      <c r="P14" s="2" t="s">
        <v>181</v>
      </c>
      <c r="Q14" s="2" t="s">
        <v>91</v>
      </c>
      <c r="R14" s="2" t="s">
        <v>182</v>
      </c>
      <c r="S14" s="2" t="s">
        <v>68</v>
      </c>
      <c r="T14" s="2" t="s">
        <v>78</v>
      </c>
      <c r="U14" s="2" t="s">
        <v>79</v>
      </c>
      <c r="V14" s="2" t="s">
        <v>183</v>
      </c>
      <c r="W14" s="2" t="s">
        <v>81</v>
      </c>
      <c r="X14" s="2" t="s">
        <v>184</v>
      </c>
      <c r="Y14" s="2" t="s">
        <v>127</v>
      </c>
      <c r="Z14" s="2" t="s">
        <v>185</v>
      </c>
      <c r="AA14" s="2" t="s">
        <v>178</v>
      </c>
      <c r="AB14" s="26">
        <f>25+48+11+5</f>
        <v>89</v>
      </c>
      <c r="AC14" s="30">
        <v>9898</v>
      </c>
      <c r="AD14" s="26">
        <v>7613</v>
      </c>
      <c r="AE14" s="27">
        <v>7329714</v>
      </c>
    </row>
    <row r="15" spans="1:31" ht="180" customHeight="1" x14ac:dyDescent="0.25">
      <c r="A15" s="10" t="s">
        <v>186</v>
      </c>
      <c r="B15" s="2" t="s">
        <v>65</v>
      </c>
      <c r="C15" s="2" t="s">
        <v>66</v>
      </c>
      <c r="D15" s="2" t="s">
        <v>187</v>
      </c>
      <c r="E15" s="2" t="s">
        <v>68</v>
      </c>
      <c r="F15" s="2" t="s">
        <v>69</v>
      </c>
      <c r="G15" s="9">
        <v>41306</v>
      </c>
      <c r="H15" s="9">
        <v>41091</v>
      </c>
      <c r="I15" s="9">
        <v>42277</v>
      </c>
      <c r="J15" s="45">
        <f t="shared" si="1"/>
        <v>3.3305555555555557</v>
      </c>
      <c r="K15" s="9" t="s">
        <v>101</v>
      </c>
      <c r="L15" s="9" t="s">
        <v>70</v>
      </c>
      <c r="M15" s="2" t="s">
        <v>71</v>
      </c>
      <c r="N15" s="2" t="s">
        <v>188</v>
      </c>
      <c r="O15" s="2" t="s">
        <v>89</v>
      </c>
      <c r="P15" s="2" t="s">
        <v>189</v>
      </c>
      <c r="Q15" s="2" t="s">
        <v>75</v>
      </c>
      <c r="R15" s="2" t="s">
        <v>76</v>
      </c>
      <c r="S15" s="2" t="s">
        <v>166</v>
      </c>
      <c r="T15" s="2" t="s">
        <v>78</v>
      </c>
      <c r="U15" s="2" t="s">
        <v>79</v>
      </c>
      <c r="V15" s="2" t="s">
        <v>190</v>
      </c>
      <c r="W15" s="2" t="s">
        <v>81</v>
      </c>
      <c r="X15" s="2" t="s">
        <v>191</v>
      </c>
      <c r="Y15" s="2" t="s">
        <v>83</v>
      </c>
      <c r="Z15" s="2" t="s">
        <v>192</v>
      </c>
      <c r="AA15" s="2" t="s">
        <v>83</v>
      </c>
      <c r="AB15" s="26">
        <v>1</v>
      </c>
      <c r="AC15" s="26" t="s">
        <v>68</v>
      </c>
      <c r="AD15" s="26">
        <v>464</v>
      </c>
      <c r="AE15" s="33">
        <v>14842826</v>
      </c>
    </row>
    <row r="16" spans="1:31" ht="126" customHeight="1" x14ac:dyDescent="0.25">
      <c r="A16" s="10" t="s">
        <v>193</v>
      </c>
      <c r="B16" s="2" t="s">
        <v>65</v>
      </c>
      <c r="C16" s="2" t="s">
        <v>98</v>
      </c>
      <c r="D16" s="2" t="s">
        <v>68</v>
      </c>
      <c r="E16" s="2" t="s">
        <v>99</v>
      </c>
      <c r="F16" s="2" t="s">
        <v>100</v>
      </c>
      <c r="G16" s="9">
        <v>41395</v>
      </c>
      <c r="H16" s="9">
        <v>41944</v>
      </c>
      <c r="I16" s="9">
        <v>42979</v>
      </c>
      <c r="J16" s="45">
        <f t="shared" si="1"/>
        <v>2.9166666666666665</v>
      </c>
      <c r="K16" s="9" t="s">
        <v>70</v>
      </c>
      <c r="L16" s="9" t="s">
        <v>70</v>
      </c>
      <c r="M16" s="2" t="s">
        <v>71</v>
      </c>
      <c r="N16" s="2" t="s">
        <v>194</v>
      </c>
      <c r="O16" s="2" t="s">
        <v>89</v>
      </c>
      <c r="P16" s="2" t="s">
        <v>189</v>
      </c>
      <c r="Q16" s="2" t="s">
        <v>75</v>
      </c>
      <c r="R16" s="2" t="s">
        <v>182</v>
      </c>
      <c r="S16" s="2" t="s">
        <v>77</v>
      </c>
      <c r="T16" s="2" t="s">
        <v>70</v>
      </c>
      <c r="U16" s="2" t="s">
        <v>79</v>
      </c>
      <c r="V16" s="2" t="s">
        <v>195</v>
      </c>
      <c r="W16" s="2" t="s">
        <v>106</v>
      </c>
      <c r="X16" s="2" t="s">
        <v>196</v>
      </c>
      <c r="Y16" s="2" t="s">
        <v>83</v>
      </c>
      <c r="Z16" s="2" t="s">
        <v>197</v>
      </c>
      <c r="AA16" s="2" t="s">
        <v>83</v>
      </c>
      <c r="AB16" s="26">
        <v>2</v>
      </c>
      <c r="AC16" s="26" t="s">
        <v>68</v>
      </c>
      <c r="AD16" s="26">
        <v>295</v>
      </c>
      <c r="AE16" s="31">
        <v>9610517</v>
      </c>
    </row>
    <row r="17" spans="1:31" ht="195" x14ac:dyDescent="0.25">
      <c r="A17" s="10" t="s">
        <v>198</v>
      </c>
      <c r="B17" s="2" t="s">
        <v>199</v>
      </c>
      <c r="C17" s="2" t="s">
        <v>68</v>
      </c>
      <c r="D17" s="2" t="s">
        <v>68</v>
      </c>
      <c r="E17" s="2" t="s">
        <v>68</v>
      </c>
      <c r="F17" s="2" t="s">
        <v>100</v>
      </c>
      <c r="G17" s="9">
        <v>43101</v>
      </c>
      <c r="H17" s="9">
        <v>43374</v>
      </c>
      <c r="I17" s="9">
        <v>45261</v>
      </c>
      <c r="J17" s="45">
        <f t="shared" si="1"/>
        <v>5.25</v>
      </c>
      <c r="K17" s="9" t="s">
        <v>70</v>
      </c>
      <c r="L17" s="9" t="s">
        <v>70</v>
      </c>
      <c r="M17" s="2" t="s">
        <v>71</v>
      </c>
      <c r="N17" s="2" t="s">
        <v>200</v>
      </c>
      <c r="O17" s="2" t="s">
        <v>103</v>
      </c>
      <c r="P17" s="2" t="s">
        <v>201</v>
      </c>
      <c r="Q17" s="2" t="s">
        <v>132</v>
      </c>
      <c r="R17" s="2" t="s">
        <v>92</v>
      </c>
      <c r="S17" s="2" t="s">
        <v>68</v>
      </c>
      <c r="T17" s="2" t="s">
        <v>133</v>
      </c>
      <c r="U17" s="2" t="s">
        <v>85</v>
      </c>
      <c r="V17" s="2" t="s">
        <v>202</v>
      </c>
      <c r="W17" s="2" t="s">
        <v>115</v>
      </c>
      <c r="X17" s="2" t="s">
        <v>203</v>
      </c>
      <c r="Y17" s="2" t="s">
        <v>204</v>
      </c>
      <c r="Z17" s="2" t="s">
        <v>205</v>
      </c>
      <c r="AA17" s="2" t="s">
        <v>83</v>
      </c>
      <c r="AB17" s="28">
        <v>334</v>
      </c>
      <c r="AC17" s="26" t="s">
        <v>88</v>
      </c>
      <c r="AD17" s="28">
        <f>172355+141475</f>
        <v>313830</v>
      </c>
      <c r="AE17" s="34">
        <v>13532895</v>
      </c>
    </row>
    <row r="18" spans="1:31" ht="120" x14ac:dyDescent="0.25">
      <c r="A18" s="10" t="s">
        <v>206</v>
      </c>
      <c r="B18" s="2" t="s">
        <v>199</v>
      </c>
      <c r="C18" s="2" t="s">
        <v>68</v>
      </c>
      <c r="D18" s="2" t="s">
        <v>68</v>
      </c>
      <c r="E18" s="2" t="s">
        <v>68</v>
      </c>
      <c r="F18" s="2" t="s">
        <v>69</v>
      </c>
      <c r="G18" s="9">
        <v>40756</v>
      </c>
      <c r="H18" s="9">
        <v>41548</v>
      </c>
      <c r="I18" s="9">
        <v>43344</v>
      </c>
      <c r="J18" s="45">
        <f t="shared" si="1"/>
        <v>5</v>
      </c>
      <c r="K18" s="9" t="s">
        <v>70</v>
      </c>
      <c r="L18" s="9" t="s">
        <v>70</v>
      </c>
      <c r="M18" s="2" t="s">
        <v>71</v>
      </c>
      <c r="N18" s="2" t="s">
        <v>207</v>
      </c>
      <c r="O18" s="2" t="s">
        <v>103</v>
      </c>
      <c r="P18" s="2" t="s">
        <v>201</v>
      </c>
      <c r="Q18" s="2" t="s">
        <v>132</v>
      </c>
      <c r="R18" s="2" t="s">
        <v>92</v>
      </c>
      <c r="S18" s="2" t="s">
        <v>68</v>
      </c>
      <c r="T18" s="2" t="s">
        <v>78</v>
      </c>
      <c r="U18" s="2" t="s">
        <v>85</v>
      </c>
      <c r="V18" s="2" t="s">
        <v>208</v>
      </c>
      <c r="W18" s="2" t="s">
        <v>106</v>
      </c>
      <c r="X18" s="2" t="s">
        <v>209</v>
      </c>
      <c r="Y18" s="2" t="s">
        <v>127</v>
      </c>
      <c r="Z18" s="2" t="s">
        <v>210</v>
      </c>
      <c r="AA18" s="2" t="s">
        <v>83</v>
      </c>
      <c r="AB18" s="28">
        <f>423+272</f>
        <v>695</v>
      </c>
      <c r="AC18" s="26" t="s">
        <v>88</v>
      </c>
      <c r="AD18" s="28" t="s">
        <v>88</v>
      </c>
      <c r="AE18" s="34">
        <f>102684908</f>
        <v>102684908</v>
      </c>
    </row>
    <row r="19" spans="1:31" ht="135" x14ac:dyDescent="0.25">
      <c r="A19" s="10" t="s">
        <v>211</v>
      </c>
      <c r="B19" s="2" t="s">
        <v>65</v>
      </c>
      <c r="C19" s="2" t="s">
        <v>66</v>
      </c>
      <c r="D19" s="2" t="s">
        <v>137</v>
      </c>
      <c r="E19" s="2" t="s">
        <v>68</v>
      </c>
      <c r="F19" s="2" t="s">
        <v>69</v>
      </c>
      <c r="G19" s="9">
        <v>41061</v>
      </c>
      <c r="H19" s="9">
        <v>41224</v>
      </c>
      <c r="I19" s="9">
        <v>42400</v>
      </c>
      <c r="J19" s="45">
        <f t="shared" si="1"/>
        <v>3.3055555555555554</v>
      </c>
      <c r="K19" s="9" t="s">
        <v>212</v>
      </c>
      <c r="L19" s="9" t="s">
        <v>70</v>
      </c>
      <c r="M19" s="2" t="s">
        <v>71</v>
      </c>
      <c r="N19" s="2" t="s">
        <v>213</v>
      </c>
      <c r="O19" s="2" t="s">
        <v>89</v>
      </c>
      <c r="P19" s="2" t="s">
        <v>214</v>
      </c>
      <c r="Q19" s="2" t="s">
        <v>75</v>
      </c>
      <c r="R19" s="2" t="s">
        <v>92</v>
      </c>
      <c r="S19" s="2" t="s">
        <v>77</v>
      </c>
      <c r="T19" s="2" t="s">
        <v>78</v>
      </c>
      <c r="U19" s="2" t="s">
        <v>79</v>
      </c>
      <c r="V19" s="2" t="s">
        <v>215</v>
      </c>
      <c r="W19" s="2" t="s">
        <v>81</v>
      </c>
      <c r="X19" s="2" t="s">
        <v>216</v>
      </c>
      <c r="Y19" s="2" t="s">
        <v>85</v>
      </c>
      <c r="Z19" s="2" t="s">
        <v>217</v>
      </c>
      <c r="AA19" s="2" t="s">
        <v>178</v>
      </c>
      <c r="AB19" s="26">
        <v>1</v>
      </c>
      <c r="AC19" s="26" t="s">
        <v>68</v>
      </c>
      <c r="AD19" s="26">
        <v>258</v>
      </c>
      <c r="AE19" s="33">
        <v>4093356</v>
      </c>
    </row>
    <row r="20" spans="1:31" ht="90" x14ac:dyDescent="0.25">
      <c r="A20" s="10" t="s">
        <v>218</v>
      </c>
      <c r="B20" s="2" t="s">
        <v>65</v>
      </c>
      <c r="C20" s="2" t="s">
        <v>66</v>
      </c>
      <c r="D20" s="2" t="s">
        <v>187</v>
      </c>
      <c r="E20" s="2" t="s">
        <v>68</v>
      </c>
      <c r="F20" s="2" t="s">
        <v>69</v>
      </c>
      <c r="G20" s="9">
        <v>41061</v>
      </c>
      <c r="H20" s="9">
        <v>41091</v>
      </c>
      <c r="I20" s="9">
        <v>42156</v>
      </c>
      <c r="J20" s="45">
        <f t="shared" si="1"/>
        <v>3</v>
      </c>
      <c r="K20" s="9" t="s">
        <v>70</v>
      </c>
      <c r="L20" s="9" t="s">
        <v>70</v>
      </c>
      <c r="M20" s="2" t="s">
        <v>71</v>
      </c>
      <c r="N20" s="2" t="s">
        <v>219</v>
      </c>
      <c r="O20" s="2" t="s">
        <v>103</v>
      </c>
      <c r="P20" s="2" t="s">
        <v>220</v>
      </c>
      <c r="Q20" s="2" t="s">
        <v>91</v>
      </c>
      <c r="R20" s="2" t="s">
        <v>92</v>
      </c>
      <c r="S20" s="2" t="s">
        <v>77</v>
      </c>
      <c r="T20" s="2" t="s">
        <v>78</v>
      </c>
      <c r="U20" s="2" t="s">
        <v>79</v>
      </c>
      <c r="V20" s="2" t="s">
        <v>221</v>
      </c>
      <c r="W20" s="2" t="s">
        <v>81</v>
      </c>
      <c r="X20" s="2" t="s">
        <v>222</v>
      </c>
      <c r="Y20" s="2" t="s">
        <v>83</v>
      </c>
      <c r="Z20" s="2" t="s">
        <v>223</v>
      </c>
      <c r="AA20" s="2" t="s">
        <v>178</v>
      </c>
      <c r="AB20" s="26">
        <v>171</v>
      </c>
      <c r="AC20" s="26" t="s">
        <v>68</v>
      </c>
      <c r="AD20" s="26">
        <v>2726</v>
      </c>
      <c r="AE20" s="33">
        <v>17999635</v>
      </c>
    </row>
    <row r="21" spans="1:31" ht="90" x14ac:dyDescent="0.25">
      <c r="A21" s="10" t="s">
        <v>224</v>
      </c>
      <c r="B21" s="2" t="s">
        <v>65</v>
      </c>
      <c r="C21" s="2" t="s">
        <v>66</v>
      </c>
      <c r="D21" s="2" t="s">
        <v>137</v>
      </c>
      <c r="E21" s="2" t="s">
        <v>68</v>
      </c>
      <c r="F21" s="2" t="s">
        <v>69</v>
      </c>
      <c r="G21" s="9">
        <v>41061</v>
      </c>
      <c r="H21" s="9">
        <v>41091</v>
      </c>
      <c r="I21" s="9">
        <v>42400</v>
      </c>
      <c r="J21" s="45">
        <f t="shared" si="1"/>
        <v>3.6666666666666665</v>
      </c>
      <c r="K21" s="9" t="s">
        <v>212</v>
      </c>
      <c r="L21" s="9" t="s">
        <v>70</v>
      </c>
      <c r="M21" s="2" t="s">
        <v>71</v>
      </c>
      <c r="N21" s="2" t="s">
        <v>225</v>
      </c>
      <c r="O21" s="2" t="s">
        <v>103</v>
      </c>
      <c r="P21" s="2" t="s">
        <v>139</v>
      </c>
      <c r="Q21" s="2" t="s">
        <v>75</v>
      </c>
      <c r="R21" s="2" t="s">
        <v>113</v>
      </c>
      <c r="S21" s="2" t="s">
        <v>77</v>
      </c>
      <c r="T21" s="2" t="s">
        <v>78</v>
      </c>
      <c r="U21" s="2" t="s">
        <v>79</v>
      </c>
      <c r="V21" s="2" t="s">
        <v>226</v>
      </c>
      <c r="W21" s="2" t="s">
        <v>81</v>
      </c>
      <c r="X21" s="2" t="s">
        <v>227</v>
      </c>
      <c r="Y21" s="2" t="s">
        <v>85</v>
      </c>
      <c r="Z21" s="2" t="s">
        <v>228</v>
      </c>
      <c r="AA21" s="2" t="s">
        <v>178</v>
      </c>
      <c r="AB21" s="26" t="s">
        <v>68</v>
      </c>
      <c r="AC21" s="26">
        <v>6598</v>
      </c>
      <c r="AD21" s="26">
        <v>6598</v>
      </c>
      <c r="AE21" s="33">
        <v>11831445</v>
      </c>
    </row>
    <row r="22" spans="1:31" ht="62.25" customHeight="1" x14ac:dyDescent="0.25">
      <c r="A22" s="10" t="s">
        <v>229</v>
      </c>
      <c r="B22" s="2" t="s">
        <v>65</v>
      </c>
      <c r="C22" s="2" t="s">
        <v>98</v>
      </c>
      <c r="D22" s="2" t="s">
        <v>68</v>
      </c>
      <c r="E22" s="49" t="s">
        <v>99</v>
      </c>
      <c r="F22" s="2" t="s">
        <v>100</v>
      </c>
      <c r="G22" s="9">
        <v>41395</v>
      </c>
      <c r="H22" s="9">
        <v>41974</v>
      </c>
      <c r="I22" s="9">
        <v>43159</v>
      </c>
      <c r="J22" s="45">
        <f t="shared" si="1"/>
        <v>3.3250000000000002</v>
      </c>
      <c r="K22" s="9" t="s">
        <v>101</v>
      </c>
      <c r="L22" s="9" t="s">
        <v>70</v>
      </c>
      <c r="M22" s="2" t="s">
        <v>71</v>
      </c>
      <c r="N22" s="2" t="s">
        <v>230</v>
      </c>
      <c r="O22" s="2" t="s">
        <v>89</v>
      </c>
      <c r="P22" s="2" t="s">
        <v>231</v>
      </c>
      <c r="Q22" s="2" t="s">
        <v>75</v>
      </c>
      <c r="R22" s="2" t="s">
        <v>182</v>
      </c>
      <c r="S22" s="2" t="s">
        <v>77</v>
      </c>
      <c r="T22" s="2" t="s">
        <v>70</v>
      </c>
      <c r="U22" s="2" t="s">
        <v>79</v>
      </c>
      <c r="V22" s="2" t="s">
        <v>232</v>
      </c>
      <c r="W22" s="2" t="s">
        <v>106</v>
      </c>
      <c r="X22" s="2" t="s">
        <v>233</v>
      </c>
      <c r="Y22" s="2" t="s">
        <v>83</v>
      </c>
      <c r="Z22" s="2" t="s">
        <v>234</v>
      </c>
      <c r="AA22" s="2" t="s">
        <v>83</v>
      </c>
      <c r="AB22" s="26">
        <v>1</v>
      </c>
      <c r="AC22" s="26" t="s">
        <v>68</v>
      </c>
      <c r="AD22" s="30">
        <v>12818</v>
      </c>
      <c r="AE22" s="31">
        <v>12779725</v>
      </c>
    </row>
    <row r="23" spans="1:31" ht="139.5" customHeight="1" x14ac:dyDescent="0.25">
      <c r="A23" s="10" t="s">
        <v>235</v>
      </c>
      <c r="B23" s="2" t="s">
        <v>65</v>
      </c>
      <c r="C23" s="2" t="s">
        <v>68</v>
      </c>
      <c r="D23" s="2" t="s">
        <v>68</v>
      </c>
      <c r="E23" s="2" t="s">
        <v>68</v>
      </c>
      <c r="F23" s="2" t="s">
        <v>236</v>
      </c>
      <c r="G23" s="9">
        <v>44044</v>
      </c>
      <c r="H23" s="9">
        <v>44927</v>
      </c>
      <c r="I23" s="9">
        <v>47818</v>
      </c>
      <c r="J23" s="45">
        <f t="shared" si="1"/>
        <v>8</v>
      </c>
      <c r="K23" s="9" t="s">
        <v>70</v>
      </c>
      <c r="L23" s="9" t="s">
        <v>70</v>
      </c>
      <c r="M23" s="2" t="s">
        <v>71</v>
      </c>
      <c r="N23" s="2" t="s">
        <v>237</v>
      </c>
      <c r="O23" s="2" t="s">
        <v>238</v>
      </c>
      <c r="P23" s="2" t="s">
        <v>147</v>
      </c>
      <c r="Q23" s="2" t="s">
        <v>88</v>
      </c>
      <c r="R23" s="2" t="s">
        <v>92</v>
      </c>
      <c r="S23" s="2" t="s">
        <v>166</v>
      </c>
      <c r="T23" s="2" t="s">
        <v>78</v>
      </c>
      <c r="U23" s="2" t="s">
        <v>85</v>
      </c>
      <c r="V23" s="2" t="s">
        <v>239</v>
      </c>
      <c r="W23" s="2" t="s">
        <v>147</v>
      </c>
      <c r="X23" s="2" t="s">
        <v>147</v>
      </c>
      <c r="Y23" s="2" t="s">
        <v>147</v>
      </c>
      <c r="Z23" s="2" t="s">
        <v>147</v>
      </c>
      <c r="AA23" s="2" t="s">
        <v>147</v>
      </c>
      <c r="AB23" s="26" t="s">
        <v>147</v>
      </c>
      <c r="AC23" s="26" t="s">
        <v>147</v>
      </c>
      <c r="AD23" s="26" t="s">
        <v>147</v>
      </c>
      <c r="AE23" s="26" t="s">
        <v>79</v>
      </c>
    </row>
    <row r="24" spans="1:31" ht="75" x14ac:dyDescent="0.25">
      <c r="A24" s="10" t="s">
        <v>240</v>
      </c>
      <c r="B24" s="2" t="s">
        <v>65</v>
      </c>
      <c r="C24" s="2" t="s">
        <v>66</v>
      </c>
      <c r="D24" s="2" t="s">
        <v>67</v>
      </c>
      <c r="E24" s="2" t="s">
        <v>68</v>
      </c>
      <c r="F24" s="2" t="s">
        <v>69</v>
      </c>
      <c r="G24" s="9">
        <v>41061</v>
      </c>
      <c r="H24" s="9">
        <v>41306</v>
      </c>
      <c r="I24" s="9">
        <v>42156</v>
      </c>
      <c r="J24" s="45">
        <f t="shared" si="1"/>
        <v>2.4166666666666665</v>
      </c>
      <c r="K24" s="9" t="s">
        <v>70</v>
      </c>
      <c r="L24" s="9" t="s">
        <v>70</v>
      </c>
      <c r="M24" s="2" t="s">
        <v>71</v>
      </c>
      <c r="N24" s="2" t="s">
        <v>241</v>
      </c>
      <c r="O24" s="2" t="s">
        <v>103</v>
      </c>
      <c r="P24" s="2" t="s">
        <v>242</v>
      </c>
      <c r="Q24" s="2" t="s">
        <v>91</v>
      </c>
      <c r="R24" s="2" t="s">
        <v>76</v>
      </c>
      <c r="S24" s="2" t="s">
        <v>77</v>
      </c>
      <c r="T24" s="2" t="s">
        <v>78</v>
      </c>
      <c r="U24" s="2" t="s">
        <v>79</v>
      </c>
      <c r="V24" s="2" t="s">
        <v>243</v>
      </c>
      <c r="W24" s="2" t="s">
        <v>81</v>
      </c>
      <c r="X24" s="2" t="s">
        <v>244</v>
      </c>
      <c r="Y24" s="2" t="s">
        <v>127</v>
      </c>
      <c r="Z24" s="2" t="s">
        <v>245</v>
      </c>
      <c r="AA24" s="2" t="s">
        <v>83</v>
      </c>
      <c r="AB24" s="26">
        <v>12</v>
      </c>
      <c r="AC24" s="26" t="s">
        <v>68</v>
      </c>
      <c r="AD24" s="26">
        <v>374</v>
      </c>
      <c r="AE24" s="27">
        <v>2681877</v>
      </c>
    </row>
    <row r="25" spans="1:31" ht="90" x14ac:dyDescent="0.25">
      <c r="A25" s="10" t="s">
        <v>246</v>
      </c>
      <c r="B25" s="2" t="s">
        <v>65</v>
      </c>
      <c r="C25" s="2" t="s">
        <v>66</v>
      </c>
      <c r="D25" s="2" t="s">
        <v>171</v>
      </c>
      <c r="E25" s="2" t="s">
        <v>68</v>
      </c>
      <c r="F25" s="2" t="s">
        <v>69</v>
      </c>
      <c r="G25" s="9">
        <v>41061</v>
      </c>
      <c r="H25" s="9">
        <v>41061</v>
      </c>
      <c r="I25" s="9">
        <v>42156</v>
      </c>
      <c r="J25" s="45">
        <f t="shared" si="1"/>
        <v>3.0833333333333335</v>
      </c>
      <c r="K25" s="9" t="s">
        <v>70</v>
      </c>
      <c r="L25" s="9" t="s">
        <v>70</v>
      </c>
      <c r="M25" s="2" t="s">
        <v>71</v>
      </c>
      <c r="N25" s="2" t="s">
        <v>247</v>
      </c>
      <c r="O25" s="2" t="s">
        <v>103</v>
      </c>
      <c r="P25" s="2" t="s">
        <v>248</v>
      </c>
      <c r="Q25" s="2" t="s">
        <v>91</v>
      </c>
      <c r="R25" s="2" t="s">
        <v>92</v>
      </c>
      <c r="S25" s="2" t="s">
        <v>93</v>
      </c>
      <c r="T25" s="2" t="s">
        <v>78</v>
      </c>
      <c r="U25" s="2" t="s">
        <v>79</v>
      </c>
      <c r="V25" s="2" t="s">
        <v>249</v>
      </c>
      <c r="W25" s="2" t="s">
        <v>81</v>
      </c>
      <c r="X25" s="2" t="s">
        <v>250</v>
      </c>
      <c r="Y25" s="2" t="s">
        <v>127</v>
      </c>
      <c r="Z25" s="2" t="s">
        <v>251</v>
      </c>
      <c r="AA25" s="2" t="s">
        <v>178</v>
      </c>
      <c r="AB25" s="26">
        <v>7</v>
      </c>
      <c r="AC25" s="26" t="s">
        <v>68</v>
      </c>
      <c r="AD25" s="30">
        <v>5349</v>
      </c>
      <c r="AE25" s="33">
        <v>19757338</v>
      </c>
    </row>
    <row r="26" spans="1:31" ht="120" x14ac:dyDescent="0.25">
      <c r="A26" s="10" t="s">
        <v>252</v>
      </c>
      <c r="B26" s="2" t="s">
        <v>253</v>
      </c>
      <c r="C26" s="2" t="s">
        <v>68</v>
      </c>
      <c r="D26" s="2" t="s">
        <v>68</v>
      </c>
      <c r="E26" s="2" t="s">
        <v>68</v>
      </c>
      <c r="F26" s="2" t="s">
        <v>69</v>
      </c>
      <c r="G26" s="9">
        <v>40848</v>
      </c>
      <c r="H26" s="9">
        <v>40940</v>
      </c>
      <c r="I26" s="9">
        <v>42736</v>
      </c>
      <c r="J26" s="45">
        <f t="shared" si="1"/>
        <v>5</v>
      </c>
      <c r="K26" s="19" t="s">
        <v>70</v>
      </c>
      <c r="L26" s="19" t="s">
        <v>70</v>
      </c>
      <c r="M26" s="2" t="s">
        <v>71</v>
      </c>
      <c r="N26" s="2" t="s">
        <v>254</v>
      </c>
      <c r="O26" s="2" t="s">
        <v>103</v>
      </c>
      <c r="P26" s="2" t="s">
        <v>255</v>
      </c>
      <c r="Q26" s="2" t="s">
        <v>256</v>
      </c>
      <c r="R26" s="2" t="s">
        <v>92</v>
      </c>
      <c r="S26" s="2" t="s">
        <v>68</v>
      </c>
      <c r="T26" s="2" t="s">
        <v>78</v>
      </c>
      <c r="U26" s="2" t="s">
        <v>257</v>
      </c>
      <c r="V26" s="2" t="s">
        <v>258</v>
      </c>
      <c r="W26" s="2" t="s">
        <v>106</v>
      </c>
      <c r="X26" s="2" t="s">
        <v>259</v>
      </c>
      <c r="Y26" s="2" t="s">
        <v>127</v>
      </c>
      <c r="Z26" s="2" t="s">
        <v>260</v>
      </c>
      <c r="AA26" s="2" t="s">
        <v>83</v>
      </c>
      <c r="AB26" s="26">
        <v>101</v>
      </c>
      <c r="AC26" s="26">
        <v>448</v>
      </c>
      <c r="AD26" s="26" t="s">
        <v>68</v>
      </c>
      <c r="AE26" s="26" t="s">
        <v>68</v>
      </c>
    </row>
    <row r="27" spans="1:31" ht="60" x14ac:dyDescent="0.25">
      <c r="A27" s="10" t="s">
        <v>261</v>
      </c>
      <c r="B27" s="2" t="s">
        <v>65</v>
      </c>
      <c r="C27" s="2" t="s">
        <v>66</v>
      </c>
      <c r="D27" s="2" t="s">
        <v>67</v>
      </c>
      <c r="E27" s="2" t="s">
        <v>68</v>
      </c>
      <c r="F27" s="2" t="s">
        <v>69</v>
      </c>
      <c r="G27" s="9">
        <v>41061</v>
      </c>
      <c r="H27" s="9">
        <v>41354</v>
      </c>
      <c r="I27" s="9">
        <v>42156</v>
      </c>
      <c r="J27" s="45">
        <f t="shared" si="1"/>
        <v>2.2777777777777777</v>
      </c>
      <c r="K27" s="9" t="s">
        <v>70</v>
      </c>
      <c r="L27" s="9" t="s">
        <v>70</v>
      </c>
      <c r="M27" s="2" t="s">
        <v>71</v>
      </c>
      <c r="N27" s="2" t="s">
        <v>262</v>
      </c>
      <c r="O27" s="2" t="s">
        <v>89</v>
      </c>
      <c r="P27" s="2" t="s">
        <v>263</v>
      </c>
      <c r="Q27" s="2" t="s">
        <v>75</v>
      </c>
      <c r="R27" s="2" t="s">
        <v>76</v>
      </c>
      <c r="S27" s="2" t="s">
        <v>77</v>
      </c>
      <c r="T27" s="2" t="s">
        <v>78</v>
      </c>
      <c r="U27" s="2" t="s">
        <v>79</v>
      </c>
      <c r="V27" s="2" t="s">
        <v>264</v>
      </c>
      <c r="W27" s="2" t="s">
        <v>81</v>
      </c>
      <c r="X27" s="2" t="s">
        <v>265</v>
      </c>
      <c r="Y27" s="2" t="s">
        <v>83</v>
      </c>
      <c r="Z27" s="2" t="s">
        <v>266</v>
      </c>
      <c r="AA27" s="2" t="s">
        <v>85</v>
      </c>
      <c r="AB27" s="26" t="s">
        <v>68</v>
      </c>
      <c r="AC27" s="26" t="s">
        <v>68</v>
      </c>
      <c r="AD27" s="30">
        <v>125182</v>
      </c>
      <c r="AE27" s="31">
        <v>5862027</v>
      </c>
    </row>
    <row r="28" spans="1:31" ht="120" x14ac:dyDescent="0.25">
      <c r="A28" s="10" t="s">
        <v>267</v>
      </c>
      <c r="B28" s="2" t="s">
        <v>199</v>
      </c>
      <c r="C28" s="2" t="s">
        <v>68</v>
      </c>
      <c r="D28" s="2" t="s">
        <v>68</v>
      </c>
      <c r="E28" s="2" t="s">
        <v>68</v>
      </c>
      <c r="F28" s="2" t="s">
        <v>100</v>
      </c>
      <c r="G28" s="9">
        <v>42186</v>
      </c>
      <c r="H28" s="9">
        <v>42461</v>
      </c>
      <c r="I28" s="9">
        <v>45657</v>
      </c>
      <c r="J28" s="45">
        <f t="shared" si="1"/>
        <v>8.8333333333333339</v>
      </c>
      <c r="K28" s="9" t="s">
        <v>101</v>
      </c>
      <c r="L28" s="9" t="s">
        <v>70</v>
      </c>
      <c r="M28" s="2" t="s">
        <v>85</v>
      </c>
      <c r="N28" s="2" t="s">
        <v>172</v>
      </c>
      <c r="O28" s="2" t="s">
        <v>89</v>
      </c>
      <c r="P28" s="2" t="s">
        <v>268</v>
      </c>
      <c r="Q28" s="2" t="s">
        <v>112</v>
      </c>
      <c r="R28" s="2" t="s">
        <v>92</v>
      </c>
      <c r="S28" s="2" t="s">
        <v>68</v>
      </c>
      <c r="T28" s="2" t="s">
        <v>133</v>
      </c>
      <c r="U28" s="2" t="s">
        <v>85</v>
      </c>
      <c r="V28" s="2" t="s">
        <v>269</v>
      </c>
      <c r="W28" s="2" t="s">
        <v>175</v>
      </c>
      <c r="X28" s="2" t="s">
        <v>270</v>
      </c>
      <c r="Y28" s="2" t="s">
        <v>127</v>
      </c>
      <c r="Z28" s="2" t="s">
        <v>135</v>
      </c>
      <c r="AA28" s="2" t="s">
        <v>83</v>
      </c>
      <c r="AB28" s="28">
        <v>773</v>
      </c>
      <c r="AC28" s="26">
        <v>465</v>
      </c>
      <c r="AD28" s="28" t="s">
        <v>88</v>
      </c>
      <c r="AE28" s="34">
        <f>19047+37470378+33939402</f>
        <v>71428827</v>
      </c>
    </row>
    <row r="29" spans="1:31" ht="60" x14ac:dyDescent="0.25">
      <c r="A29" s="10" t="s">
        <v>271</v>
      </c>
      <c r="B29" s="2" t="s">
        <v>65</v>
      </c>
      <c r="C29" s="2" t="s">
        <v>66</v>
      </c>
      <c r="D29" s="2" t="s">
        <v>67</v>
      </c>
      <c r="E29" s="2" t="s">
        <v>68</v>
      </c>
      <c r="F29" s="2" t="s">
        <v>69</v>
      </c>
      <c r="G29" s="9">
        <v>41061</v>
      </c>
      <c r="H29" s="9">
        <v>41394</v>
      </c>
      <c r="I29" s="9">
        <v>42185</v>
      </c>
      <c r="J29" s="45">
        <f t="shared" si="1"/>
        <v>2.25</v>
      </c>
      <c r="K29" s="9" t="s">
        <v>70</v>
      </c>
      <c r="L29" s="9" t="s">
        <v>70</v>
      </c>
      <c r="M29" s="2" t="s">
        <v>71</v>
      </c>
      <c r="N29" s="2" t="s">
        <v>272</v>
      </c>
      <c r="O29" s="2" t="s">
        <v>89</v>
      </c>
      <c r="P29" s="2" t="s">
        <v>273</v>
      </c>
      <c r="Q29" s="2" t="s">
        <v>75</v>
      </c>
      <c r="R29" s="2" t="s">
        <v>92</v>
      </c>
      <c r="S29" s="2" t="s">
        <v>68</v>
      </c>
      <c r="T29" s="2" t="s">
        <v>78</v>
      </c>
      <c r="U29" s="2" t="s">
        <v>79</v>
      </c>
      <c r="V29" s="2" t="s">
        <v>274</v>
      </c>
      <c r="W29" s="2" t="s">
        <v>81</v>
      </c>
      <c r="X29" s="2" t="s">
        <v>275</v>
      </c>
      <c r="Y29" s="2" t="s">
        <v>83</v>
      </c>
      <c r="Z29" s="2" t="s">
        <v>276</v>
      </c>
      <c r="AA29" s="2" t="s">
        <v>178</v>
      </c>
      <c r="AB29" s="26" t="s">
        <v>68</v>
      </c>
      <c r="AC29" s="26">
        <v>183</v>
      </c>
      <c r="AD29" s="26">
        <v>37760</v>
      </c>
      <c r="AE29" s="33">
        <v>33237555</v>
      </c>
    </row>
    <row r="30" spans="1:31" ht="60" x14ac:dyDescent="0.25">
      <c r="A30" s="10" t="s">
        <v>277</v>
      </c>
      <c r="B30" s="2" t="s">
        <v>119</v>
      </c>
      <c r="C30" s="2" t="s">
        <v>68</v>
      </c>
      <c r="D30" s="2" t="s">
        <v>68</v>
      </c>
      <c r="E30" s="2" t="s">
        <v>68</v>
      </c>
      <c r="F30" s="2" t="s">
        <v>69</v>
      </c>
      <c r="G30" s="9">
        <v>41730</v>
      </c>
      <c r="H30" s="9">
        <v>42278</v>
      </c>
      <c r="I30" s="9">
        <v>44166</v>
      </c>
      <c r="J30" s="45">
        <f t="shared" si="1"/>
        <v>5.25</v>
      </c>
      <c r="K30" s="9" t="s">
        <v>70</v>
      </c>
      <c r="L30" s="9" t="s">
        <v>70</v>
      </c>
      <c r="M30" s="2" t="s">
        <v>71</v>
      </c>
      <c r="N30" s="2" t="s">
        <v>278</v>
      </c>
      <c r="O30" s="2" t="s">
        <v>103</v>
      </c>
      <c r="P30" s="2" t="s">
        <v>279</v>
      </c>
      <c r="Q30" s="2" t="s">
        <v>256</v>
      </c>
      <c r="R30" s="2" t="s">
        <v>92</v>
      </c>
      <c r="S30" s="2" t="s">
        <v>68</v>
      </c>
      <c r="T30" s="2" t="s">
        <v>133</v>
      </c>
      <c r="U30" s="2" t="s">
        <v>85</v>
      </c>
      <c r="V30" s="2" t="s">
        <v>280</v>
      </c>
      <c r="W30" s="2" t="s">
        <v>175</v>
      </c>
      <c r="X30" s="2" t="s">
        <v>281</v>
      </c>
      <c r="Y30" s="2" t="s">
        <v>204</v>
      </c>
      <c r="Z30" s="2" t="s">
        <v>282</v>
      </c>
      <c r="AA30" s="2" t="s">
        <v>85</v>
      </c>
      <c r="AB30" s="26">
        <v>37</v>
      </c>
      <c r="AC30" s="26">
        <f>685+7</f>
        <v>692</v>
      </c>
      <c r="AD30" s="30">
        <v>71677</v>
      </c>
      <c r="AE30" s="35">
        <f>51151304+90161926</f>
        <v>141313230</v>
      </c>
    </row>
    <row r="31" spans="1:31" ht="143.25" customHeight="1" x14ac:dyDescent="0.25">
      <c r="A31" s="10" t="s">
        <v>283</v>
      </c>
      <c r="B31" s="2" t="s">
        <v>65</v>
      </c>
      <c r="C31" s="2" t="s">
        <v>98</v>
      </c>
      <c r="D31" s="2" t="s">
        <v>68</v>
      </c>
      <c r="E31" s="2" t="s">
        <v>155</v>
      </c>
      <c r="F31" s="2" t="s">
        <v>100</v>
      </c>
      <c r="G31" s="9">
        <v>41395</v>
      </c>
      <c r="H31" s="9">
        <v>42065</v>
      </c>
      <c r="I31" s="9">
        <v>43069</v>
      </c>
      <c r="J31" s="45">
        <f t="shared" si="1"/>
        <v>2.8277777777777779</v>
      </c>
      <c r="K31" s="9" t="s">
        <v>101</v>
      </c>
      <c r="L31" s="9" t="s">
        <v>70</v>
      </c>
      <c r="M31" s="2" t="s">
        <v>71</v>
      </c>
      <c r="N31" s="2" t="s">
        <v>284</v>
      </c>
      <c r="O31" s="2" t="s">
        <v>89</v>
      </c>
      <c r="P31" s="2" t="s">
        <v>214</v>
      </c>
      <c r="Q31" s="2" t="s">
        <v>75</v>
      </c>
      <c r="R31" s="18" t="s">
        <v>92</v>
      </c>
      <c r="S31" s="2" t="s">
        <v>68</v>
      </c>
      <c r="T31" s="2" t="s">
        <v>70</v>
      </c>
      <c r="U31" s="2" t="s">
        <v>79</v>
      </c>
      <c r="V31" s="2" t="s">
        <v>285</v>
      </c>
      <c r="W31" s="2" t="s">
        <v>106</v>
      </c>
      <c r="X31" s="2" t="s">
        <v>286</v>
      </c>
      <c r="Y31" s="2" t="s">
        <v>83</v>
      </c>
      <c r="Z31" s="2" t="s">
        <v>286</v>
      </c>
      <c r="AA31" s="2" t="s">
        <v>83</v>
      </c>
      <c r="AB31" s="26" t="s">
        <v>68</v>
      </c>
      <c r="AC31" s="26" t="s">
        <v>68</v>
      </c>
      <c r="AD31" s="26">
        <v>342</v>
      </c>
      <c r="AE31" s="31">
        <v>6387736</v>
      </c>
    </row>
    <row r="32" spans="1:31" ht="135" x14ac:dyDescent="0.25">
      <c r="A32" s="10" t="s">
        <v>287</v>
      </c>
      <c r="B32" s="2" t="s">
        <v>65</v>
      </c>
      <c r="C32" s="2" t="s">
        <v>66</v>
      </c>
      <c r="D32" s="2" t="s">
        <v>171</v>
      </c>
      <c r="E32" s="2" t="s">
        <v>68</v>
      </c>
      <c r="F32" s="2" t="s">
        <v>69</v>
      </c>
      <c r="G32" s="9">
        <v>41061</v>
      </c>
      <c r="H32" s="9">
        <v>41091</v>
      </c>
      <c r="I32" s="9">
        <v>42156</v>
      </c>
      <c r="J32" s="45">
        <v>3</v>
      </c>
      <c r="K32" s="9" t="s">
        <v>70</v>
      </c>
      <c r="L32" s="9" t="s">
        <v>70</v>
      </c>
      <c r="M32" s="2" t="s">
        <v>71</v>
      </c>
      <c r="N32" s="2" t="s">
        <v>288</v>
      </c>
      <c r="O32" s="2" t="s">
        <v>89</v>
      </c>
      <c r="P32" s="2" t="s">
        <v>289</v>
      </c>
      <c r="Q32" s="2" t="s">
        <v>75</v>
      </c>
      <c r="R32" s="2" t="s">
        <v>92</v>
      </c>
      <c r="S32" s="2" t="s">
        <v>93</v>
      </c>
      <c r="T32" s="2" t="s">
        <v>78</v>
      </c>
      <c r="U32" s="2" t="s">
        <v>79</v>
      </c>
      <c r="V32" s="2" t="s">
        <v>290</v>
      </c>
      <c r="W32" s="2" t="s">
        <v>81</v>
      </c>
      <c r="X32" s="2" t="s">
        <v>291</v>
      </c>
      <c r="Y32" s="2" t="s">
        <v>83</v>
      </c>
      <c r="Z32" s="2" t="s">
        <v>292</v>
      </c>
      <c r="AA32" s="2" t="s">
        <v>178</v>
      </c>
      <c r="AB32" s="26">
        <v>1</v>
      </c>
      <c r="AC32" s="26" t="s">
        <v>68</v>
      </c>
      <c r="AD32" s="30">
        <v>1286</v>
      </c>
      <c r="AE32" s="29">
        <v>4352754</v>
      </c>
    </row>
    <row r="33" spans="1:31" ht="0.75" customHeight="1" x14ac:dyDescent="0.25">
      <c r="A33" s="10" t="s">
        <v>293</v>
      </c>
      <c r="B33" s="2" t="s">
        <v>294</v>
      </c>
      <c r="C33" s="2" t="s">
        <v>68</v>
      </c>
      <c r="D33" s="2" t="s">
        <v>68</v>
      </c>
      <c r="E33" s="2" t="s">
        <v>68</v>
      </c>
      <c r="F33" s="2" t="s">
        <v>69</v>
      </c>
      <c r="G33" s="9" t="s">
        <v>147</v>
      </c>
      <c r="H33" s="9">
        <v>41183</v>
      </c>
      <c r="I33" s="9">
        <v>42705</v>
      </c>
      <c r="J33" s="45">
        <f t="shared" ref="J33" si="2">((DAYS360(H33,I33))+30)/360</f>
        <v>4.25</v>
      </c>
      <c r="K33" s="9" t="s">
        <v>70</v>
      </c>
      <c r="L33" s="9" t="s">
        <v>70</v>
      </c>
      <c r="M33" s="2" t="s">
        <v>71</v>
      </c>
      <c r="N33" s="2" t="s">
        <v>295</v>
      </c>
      <c r="O33" s="2" t="s">
        <v>103</v>
      </c>
      <c r="P33" s="2" t="s">
        <v>296</v>
      </c>
      <c r="Q33" s="2" t="s">
        <v>91</v>
      </c>
      <c r="R33" s="2" t="s">
        <v>92</v>
      </c>
      <c r="S33" s="2" t="s">
        <v>68</v>
      </c>
      <c r="T33" s="2" t="s">
        <v>78</v>
      </c>
      <c r="U33" s="2" t="s">
        <v>85</v>
      </c>
      <c r="V33" s="2" t="s">
        <v>297</v>
      </c>
      <c r="W33" s="2" t="s">
        <v>106</v>
      </c>
      <c r="X33" s="2" t="s">
        <v>298</v>
      </c>
      <c r="Y33" s="2" t="s">
        <v>85</v>
      </c>
      <c r="Z33" s="2" t="s">
        <v>299</v>
      </c>
      <c r="AA33" s="2" t="s">
        <v>85</v>
      </c>
      <c r="AB33" s="28">
        <v>497</v>
      </c>
      <c r="AC33" s="30">
        <v>2188</v>
      </c>
      <c r="AD33" s="28">
        <v>2700000</v>
      </c>
      <c r="AE33" s="34">
        <v>23758100</v>
      </c>
    </row>
    <row r="34" spans="1:31" ht="190.5" customHeight="1" x14ac:dyDescent="0.25">
      <c r="A34" s="10" t="s">
        <v>300</v>
      </c>
      <c r="B34" s="2" t="s">
        <v>294</v>
      </c>
      <c r="C34" s="2" t="s">
        <v>68</v>
      </c>
      <c r="D34" s="2" t="s">
        <v>68</v>
      </c>
      <c r="E34" s="2" t="s">
        <v>68</v>
      </c>
      <c r="F34" s="2" t="s">
        <v>100</v>
      </c>
      <c r="G34" s="9">
        <v>42461</v>
      </c>
      <c r="H34" s="9">
        <v>42736</v>
      </c>
      <c r="I34" s="9">
        <v>44896</v>
      </c>
      <c r="J34" s="45">
        <v>5.916666666666667</v>
      </c>
      <c r="K34" s="9" t="s">
        <v>70</v>
      </c>
      <c r="L34" s="9" t="s">
        <v>70</v>
      </c>
      <c r="M34" s="2" t="s">
        <v>71</v>
      </c>
      <c r="N34" s="2" t="s">
        <v>301</v>
      </c>
      <c r="O34" s="2" t="s">
        <v>103</v>
      </c>
      <c r="P34" s="2" t="s">
        <v>302</v>
      </c>
      <c r="Q34" s="2" t="s">
        <v>256</v>
      </c>
      <c r="R34" s="2" t="s">
        <v>76</v>
      </c>
      <c r="S34" s="2" t="s">
        <v>68</v>
      </c>
      <c r="T34" s="2" t="s">
        <v>133</v>
      </c>
      <c r="U34" s="2" t="s">
        <v>85</v>
      </c>
      <c r="V34" s="2" t="s">
        <v>303</v>
      </c>
      <c r="W34" s="2" t="s">
        <v>81</v>
      </c>
      <c r="X34" s="2" t="s">
        <v>304</v>
      </c>
      <c r="Y34" s="2" t="s">
        <v>83</v>
      </c>
      <c r="Z34" s="2" t="s">
        <v>305</v>
      </c>
      <c r="AA34" s="2" t="s">
        <v>83</v>
      </c>
      <c r="AB34" s="28">
        <v>2675</v>
      </c>
      <c r="AC34" s="30">
        <v>13739</v>
      </c>
      <c r="AD34" s="30">
        <v>1800000</v>
      </c>
      <c r="AE34" s="35">
        <f>978690092+209842914</f>
        <v>1188533006</v>
      </c>
    </row>
    <row r="35" spans="1:31" ht="156.75" customHeight="1" x14ac:dyDescent="0.25">
      <c r="A35" s="10" t="s">
        <v>306</v>
      </c>
      <c r="B35" s="2" t="s">
        <v>65</v>
      </c>
      <c r="C35" s="2" t="s">
        <v>66</v>
      </c>
      <c r="D35" s="2" t="s">
        <v>171</v>
      </c>
      <c r="E35" s="2" t="s">
        <v>68</v>
      </c>
      <c r="F35" s="2" t="s">
        <v>69</v>
      </c>
      <c r="G35" s="9">
        <v>41061</v>
      </c>
      <c r="H35" s="9">
        <v>41275</v>
      </c>
      <c r="I35" s="9">
        <v>42339</v>
      </c>
      <c r="J35" s="45">
        <v>2.9166666666666665</v>
      </c>
      <c r="K35" s="9" t="s">
        <v>101</v>
      </c>
      <c r="L35" s="9" t="s">
        <v>70</v>
      </c>
      <c r="M35" s="2" t="s">
        <v>71</v>
      </c>
      <c r="N35" s="2" t="s">
        <v>194</v>
      </c>
      <c r="O35" s="2" t="s">
        <v>73</v>
      </c>
      <c r="P35" s="2" t="s">
        <v>307</v>
      </c>
      <c r="Q35" s="2" t="s">
        <v>75</v>
      </c>
      <c r="R35" s="2" t="s">
        <v>92</v>
      </c>
      <c r="S35" s="2" t="s">
        <v>68</v>
      </c>
      <c r="T35" s="2" t="s">
        <v>78</v>
      </c>
      <c r="U35" s="2" t="s">
        <v>79</v>
      </c>
      <c r="V35" s="2" t="s">
        <v>308</v>
      </c>
      <c r="W35" s="2" t="s">
        <v>81</v>
      </c>
      <c r="X35" s="2" t="s">
        <v>309</v>
      </c>
      <c r="Y35" s="2" t="s">
        <v>83</v>
      </c>
      <c r="Z35" s="2" t="s">
        <v>310</v>
      </c>
      <c r="AA35" s="2" t="s">
        <v>85</v>
      </c>
      <c r="AB35" s="26">
        <v>1</v>
      </c>
      <c r="AC35" s="26" t="s">
        <v>68</v>
      </c>
      <c r="AD35" s="36">
        <v>4272</v>
      </c>
      <c r="AE35" s="33">
        <v>3864744</v>
      </c>
    </row>
    <row r="36" spans="1:31" ht="90" x14ac:dyDescent="0.25">
      <c r="A36" s="10" t="s">
        <v>311</v>
      </c>
      <c r="B36" s="2" t="s">
        <v>65</v>
      </c>
      <c r="C36" s="2" t="s">
        <v>66</v>
      </c>
      <c r="D36" s="2" t="s">
        <v>162</v>
      </c>
      <c r="E36" s="2" t="s">
        <v>68</v>
      </c>
      <c r="F36" s="2" t="s">
        <v>69</v>
      </c>
      <c r="G36" s="9">
        <v>41061</v>
      </c>
      <c r="H36" s="9">
        <v>41183</v>
      </c>
      <c r="I36" s="9">
        <v>42369</v>
      </c>
      <c r="J36" s="45">
        <v>3.25</v>
      </c>
      <c r="K36" s="9" t="s">
        <v>70</v>
      </c>
      <c r="L36" s="9" t="s">
        <v>70</v>
      </c>
      <c r="M36" s="2" t="s">
        <v>71</v>
      </c>
      <c r="N36" s="2" t="s">
        <v>312</v>
      </c>
      <c r="O36" s="2" t="s">
        <v>89</v>
      </c>
      <c r="P36" s="2" t="s">
        <v>313</v>
      </c>
      <c r="Q36" s="2" t="s">
        <v>75</v>
      </c>
      <c r="R36" s="2" t="s">
        <v>314</v>
      </c>
      <c r="S36" s="2" t="s">
        <v>77</v>
      </c>
      <c r="T36" s="2" t="s">
        <v>78</v>
      </c>
      <c r="U36" s="2" t="s">
        <v>79</v>
      </c>
      <c r="V36" s="2" t="s">
        <v>315</v>
      </c>
      <c r="W36" s="2" t="s">
        <v>81</v>
      </c>
      <c r="X36" s="2" t="s">
        <v>316</v>
      </c>
      <c r="Y36" s="2" t="s">
        <v>68</v>
      </c>
      <c r="Z36" s="2" t="s">
        <v>316</v>
      </c>
      <c r="AA36" s="2" t="s">
        <v>68</v>
      </c>
      <c r="AB36" s="26" t="s">
        <v>68</v>
      </c>
      <c r="AC36" s="26" t="s">
        <v>68</v>
      </c>
      <c r="AD36" s="26">
        <v>21</v>
      </c>
      <c r="AE36" s="33">
        <v>2788457</v>
      </c>
    </row>
    <row r="37" spans="1:31" ht="90" customHeight="1" x14ac:dyDescent="0.25">
      <c r="A37" s="10" t="s">
        <v>317</v>
      </c>
      <c r="B37" s="2" t="s">
        <v>65</v>
      </c>
      <c r="C37" s="2" t="s">
        <v>98</v>
      </c>
      <c r="D37" s="2" t="s">
        <v>68</v>
      </c>
      <c r="E37" s="2" t="s">
        <v>318</v>
      </c>
      <c r="F37" s="2" t="s">
        <v>100</v>
      </c>
      <c r="G37" s="9">
        <v>41395</v>
      </c>
      <c r="H37" s="9">
        <v>42005</v>
      </c>
      <c r="I37" s="9">
        <v>42979</v>
      </c>
      <c r="J37" s="45">
        <v>2.6666666666666665</v>
      </c>
      <c r="K37" s="9" t="s">
        <v>70</v>
      </c>
      <c r="L37" s="9" t="s">
        <v>70</v>
      </c>
      <c r="M37" s="2" t="s">
        <v>71</v>
      </c>
      <c r="N37" s="2" t="s">
        <v>319</v>
      </c>
      <c r="O37" s="2" t="s">
        <v>89</v>
      </c>
      <c r="P37" s="2" t="s">
        <v>139</v>
      </c>
      <c r="Q37" s="2" t="s">
        <v>75</v>
      </c>
      <c r="R37" s="2" t="s">
        <v>76</v>
      </c>
      <c r="S37" s="2" t="s">
        <v>77</v>
      </c>
      <c r="T37" s="2" t="s">
        <v>70</v>
      </c>
      <c r="U37" s="2" t="s">
        <v>79</v>
      </c>
      <c r="V37" s="2" t="s">
        <v>320</v>
      </c>
      <c r="W37" s="2" t="s">
        <v>106</v>
      </c>
      <c r="X37" s="2" t="s">
        <v>321</v>
      </c>
      <c r="Y37" s="2" t="s">
        <v>83</v>
      </c>
      <c r="Z37" s="2" t="s">
        <v>322</v>
      </c>
      <c r="AA37" s="2" t="s">
        <v>83</v>
      </c>
      <c r="AB37" s="26" t="s">
        <v>68</v>
      </c>
      <c r="AC37" s="26">
        <v>138</v>
      </c>
      <c r="AD37" s="30">
        <v>2040</v>
      </c>
      <c r="AE37" s="31">
        <v>6128059</v>
      </c>
    </row>
    <row r="38" spans="1:31" ht="135" x14ac:dyDescent="0.25">
      <c r="A38" s="10" t="s">
        <v>323</v>
      </c>
      <c r="B38" s="2" t="s">
        <v>65</v>
      </c>
      <c r="C38" s="2" t="s">
        <v>66</v>
      </c>
      <c r="D38" s="2" t="s">
        <v>324</v>
      </c>
      <c r="E38" s="2" t="s">
        <v>68</v>
      </c>
      <c r="F38" s="2" t="s">
        <v>69</v>
      </c>
      <c r="G38" s="9">
        <v>41061</v>
      </c>
      <c r="H38" s="9">
        <v>41061</v>
      </c>
      <c r="I38" s="9">
        <v>42551</v>
      </c>
      <c r="J38" s="45">
        <v>4.0805555555555557</v>
      </c>
      <c r="K38" s="9" t="s">
        <v>101</v>
      </c>
      <c r="L38" s="9" t="s">
        <v>70</v>
      </c>
      <c r="M38" s="2" t="s">
        <v>71</v>
      </c>
      <c r="N38" s="2" t="s">
        <v>172</v>
      </c>
      <c r="O38" s="2" t="s">
        <v>89</v>
      </c>
      <c r="P38" s="2" t="s">
        <v>263</v>
      </c>
      <c r="Q38" s="2" t="s">
        <v>75</v>
      </c>
      <c r="R38" s="2" t="s">
        <v>92</v>
      </c>
      <c r="S38" s="2" t="s">
        <v>68</v>
      </c>
      <c r="T38" s="2" t="s">
        <v>78</v>
      </c>
      <c r="U38" s="2" t="s">
        <v>79</v>
      </c>
      <c r="V38" s="2" t="s">
        <v>325</v>
      </c>
      <c r="W38" s="2" t="s">
        <v>81</v>
      </c>
      <c r="X38" s="2" t="s">
        <v>326</v>
      </c>
      <c r="Y38" s="2" t="s">
        <v>83</v>
      </c>
      <c r="Z38" s="2" t="s">
        <v>327</v>
      </c>
      <c r="AA38" s="2" t="s">
        <v>83</v>
      </c>
      <c r="AB38" s="26">
        <v>1</v>
      </c>
      <c r="AC38" s="26" t="s">
        <v>68</v>
      </c>
      <c r="AD38" s="28" t="s">
        <v>88</v>
      </c>
      <c r="AE38" s="29">
        <v>3615818</v>
      </c>
    </row>
    <row r="39" spans="1:31" ht="105" x14ac:dyDescent="0.25">
      <c r="A39" s="10" t="s">
        <v>328</v>
      </c>
      <c r="B39" s="2" t="s">
        <v>65</v>
      </c>
      <c r="C39" s="2" t="s">
        <v>66</v>
      </c>
      <c r="D39" s="2" t="s">
        <v>137</v>
      </c>
      <c r="E39" s="2" t="s">
        <v>68</v>
      </c>
      <c r="F39" s="2" t="s">
        <v>69</v>
      </c>
      <c r="G39" s="9">
        <v>41061</v>
      </c>
      <c r="H39" s="9">
        <v>41465</v>
      </c>
      <c r="I39" s="9">
        <v>42429</v>
      </c>
      <c r="J39" s="45">
        <v>2.6361111111111111</v>
      </c>
      <c r="K39" s="9" t="s">
        <v>101</v>
      </c>
      <c r="L39" s="9" t="s">
        <v>70</v>
      </c>
      <c r="M39" s="2" t="s">
        <v>71</v>
      </c>
      <c r="N39" s="2" t="s">
        <v>172</v>
      </c>
      <c r="O39" s="2" t="s">
        <v>89</v>
      </c>
      <c r="P39" s="2" t="s">
        <v>329</v>
      </c>
      <c r="Q39" s="2" t="s">
        <v>91</v>
      </c>
      <c r="R39" s="2" t="s">
        <v>92</v>
      </c>
      <c r="S39" s="2" t="s">
        <v>68</v>
      </c>
      <c r="T39" s="2" t="s">
        <v>78</v>
      </c>
      <c r="U39" s="2" t="s">
        <v>79</v>
      </c>
      <c r="V39" s="2" t="s">
        <v>330</v>
      </c>
      <c r="W39" s="2" t="s">
        <v>81</v>
      </c>
      <c r="X39" s="2" t="s">
        <v>331</v>
      </c>
      <c r="Y39" s="2" t="s">
        <v>85</v>
      </c>
      <c r="Z39" s="2" t="s">
        <v>332</v>
      </c>
      <c r="AA39" s="2" t="s">
        <v>85</v>
      </c>
      <c r="AB39" s="26">
        <v>6</v>
      </c>
      <c r="AC39" s="26" t="s">
        <v>68</v>
      </c>
      <c r="AD39" s="26">
        <v>7689</v>
      </c>
      <c r="AE39" s="27">
        <v>10419511</v>
      </c>
    </row>
    <row r="40" spans="1:31" ht="145.5" customHeight="1" x14ac:dyDescent="0.25">
      <c r="A40" s="10" t="s">
        <v>333</v>
      </c>
      <c r="B40" s="2" t="s">
        <v>65</v>
      </c>
      <c r="C40" s="2" t="s">
        <v>66</v>
      </c>
      <c r="D40" s="2" t="s">
        <v>171</v>
      </c>
      <c r="E40" s="2" t="s">
        <v>68</v>
      </c>
      <c r="F40" s="2" t="s">
        <v>69</v>
      </c>
      <c r="G40" s="9">
        <v>41061</v>
      </c>
      <c r="H40" s="9">
        <v>41091</v>
      </c>
      <c r="I40" s="9">
        <v>42369</v>
      </c>
      <c r="J40" s="45">
        <v>3.5</v>
      </c>
      <c r="K40" s="9" t="s">
        <v>101</v>
      </c>
      <c r="L40" s="9" t="s">
        <v>70</v>
      </c>
      <c r="M40" s="2" t="s">
        <v>71</v>
      </c>
      <c r="N40" s="2" t="s">
        <v>334</v>
      </c>
      <c r="O40" s="2" t="s">
        <v>103</v>
      </c>
      <c r="P40" s="2" t="s">
        <v>335</v>
      </c>
      <c r="Q40" s="2" t="s">
        <v>91</v>
      </c>
      <c r="R40" s="2" t="s">
        <v>92</v>
      </c>
      <c r="S40" s="2" t="s">
        <v>68</v>
      </c>
      <c r="T40" s="2" t="s">
        <v>78</v>
      </c>
      <c r="U40" s="2" t="s">
        <v>79</v>
      </c>
      <c r="V40" s="2" t="s">
        <v>336</v>
      </c>
      <c r="W40" s="2" t="s">
        <v>81</v>
      </c>
      <c r="X40" s="2" t="s">
        <v>337</v>
      </c>
      <c r="Y40" s="2" t="s">
        <v>127</v>
      </c>
      <c r="Z40" s="2" t="s">
        <v>338</v>
      </c>
      <c r="AA40" s="2" t="s">
        <v>178</v>
      </c>
      <c r="AB40" s="26">
        <v>12</v>
      </c>
      <c r="AC40" s="26" t="s">
        <v>68</v>
      </c>
      <c r="AD40" s="30">
        <v>9058</v>
      </c>
      <c r="AE40" s="29">
        <v>15007262</v>
      </c>
    </row>
    <row r="41" spans="1:31" ht="165" x14ac:dyDescent="0.25">
      <c r="A41" s="10" t="s">
        <v>339</v>
      </c>
      <c r="B41" s="2" t="s">
        <v>65</v>
      </c>
      <c r="C41" s="2" t="s">
        <v>66</v>
      </c>
      <c r="D41" s="2" t="s">
        <v>324</v>
      </c>
      <c r="E41" s="2" t="s">
        <v>68</v>
      </c>
      <c r="F41" s="2" t="s">
        <v>69</v>
      </c>
      <c r="G41" s="9">
        <v>41061</v>
      </c>
      <c r="H41" s="9">
        <v>41061</v>
      </c>
      <c r="I41" s="9">
        <v>42551</v>
      </c>
      <c r="J41" s="45">
        <v>4.0805555555555557</v>
      </c>
      <c r="K41" s="9" t="s">
        <v>101</v>
      </c>
      <c r="L41" s="9" t="s">
        <v>70</v>
      </c>
      <c r="M41" s="2" t="s">
        <v>71</v>
      </c>
      <c r="N41" s="2" t="s">
        <v>172</v>
      </c>
      <c r="O41" s="2" t="s">
        <v>89</v>
      </c>
      <c r="P41" s="2" t="s">
        <v>340</v>
      </c>
      <c r="Q41" s="2" t="s">
        <v>75</v>
      </c>
      <c r="R41" s="2" t="s">
        <v>182</v>
      </c>
      <c r="S41" s="2" t="s">
        <v>77</v>
      </c>
      <c r="T41" s="2" t="s">
        <v>78</v>
      </c>
      <c r="U41" s="2" t="s">
        <v>79</v>
      </c>
      <c r="V41" s="2" t="s">
        <v>341</v>
      </c>
      <c r="W41" s="2" t="s">
        <v>81</v>
      </c>
      <c r="X41" s="2" t="s">
        <v>342</v>
      </c>
      <c r="Y41" s="2" t="s">
        <v>204</v>
      </c>
      <c r="Z41" s="2" t="s">
        <v>343</v>
      </c>
      <c r="AA41" s="2" t="s">
        <v>83</v>
      </c>
      <c r="AB41" s="26">
        <v>12</v>
      </c>
      <c r="AC41" s="26" t="s">
        <v>68</v>
      </c>
      <c r="AD41" s="30">
        <v>757</v>
      </c>
      <c r="AE41" s="33">
        <v>11785095</v>
      </c>
    </row>
    <row r="42" spans="1:31" ht="75" x14ac:dyDescent="0.25">
      <c r="A42" s="10" t="s">
        <v>344</v>
      </c>
      <c r="B42" s="2" t="s">
        <v>65</v>
      </c>
      <c r="C42" s="2" t="s">
        <v>66</v>
      </c>
      <c r="D42" s="2" t="s">
        <v>67</v>
      </c>
      <c r="E42" s="2" t="s">
        <v>68</v>
      </c>
      <c r="F42" s="2" t="s">
        <v>69</v>
      </c>
      <c r="G42" s="9">
        <v>41061</v>
      </c>
      <c r="H42" s="9">
        <v>41320</v>
      </c>
      <c r="I42" s="9">
        <v>42551</v>
      </c>
      <c r="J42" s="45">
        <v>3.375</v>
      </c>
      <c r="K42" s="9" t="s">
        <v>212</v>
      </c>
      <c r="L42" s="9" t="s">
        <v>70</v>
      </c>
      <c r="M42" s="2" t="s">
        <v>71</v>
      </c>
      <c r="N42" s="2" t="s">
        <v>345</v>
      </c>
      <c r="O42" s="2" t="s">
        <v>85</v>
      </c>
      <c r="P42" s="2" t="s">
        <v>346</v>
      </c>
      <c r="Q42" s="2" t="s">
        <v>91</v>
      </c>
      <c r="R42" s="2" t="s">
        <v>347</v>
      </c>
      <c r="S42" s="2" t="s">
        <v>68</v>
      </c>
      <c r="T42" s="2" t="s">
        <v>78</v>
      </c>
      <c r="U42" s="2" t="s">
        <v>79</v>
      </c>
      <c r="V42" s="2" t="s">
        <v>348</v>
      </c>
      <c r="W42" s="2" t="s">
        <v>81</v>
      </c>
      <c r="X42" s="2" t="s">
        <v>349</v>
      </c>
      <c r="Y42" s="2" t="s">
        <v>127</v>
      </c>
      <c r="Z42" s="2" t="s">
        <v>350</v>
      </c>
      <c r="AA42" s="2" t="s">
        <v>178</v>
      </c>
      <c r="AB42" s="26">
        <v>17</v>
      </c>
      <c r="AC42" s="26" t="s">
        <v>68</v>
      </c>
      <c r="AD42" s="30">
        <v>6946</v>
      </c>
      <c r="AE42" s="33">
        <v>11885134</v>
      </c>
    </row>
    <row r="43" spans="1:31" ht="60" x14ac:dyDescent="0.25">
      <c r="A43" s="10" t="s">
        <v>351</v>
      </c>
      <c r="B43" s="2" t="s">
        <v>65</v>
      </c>
      <c r="C43" s="2" t="s">
        <v>66</v>
      </c>
      <c r="D43" s="2" t="s">
        <v>67</v>
      </c>
      <c r="E43" s="2" t="s">
        <v>68</v>
      </c>
      <c r="F43" s="2" t="s">
        <v>69</v>
      </c>
      <c r="G43" s="9">
        <v>41061</v>
      </c>
      <c r="H43" s="9">
        <v>41426</v>
      </c>
      <c r="I43" s="9">
        <v>42185</v>
      </c>
      <c r="J43" s="45">
        <v>2.0805555555555557</v>
      </c>
      <c r="K43" s="9" t="s">
        <v>70</v>
      </c>
      <c r="L43" s="9" t="s">
        <v>70</v>
      </c>
      <c r="M43" s="2" t="s">
        <v>71</v>
      </c>
      <c r="N43" s="2" t="s">
        <v>352</v>
      </c>
      <c r="O43" s="2" t="s">
        <v>89</v>
      </c>
      <c r="P43" s="2" t="s">
        <v>353</v>
      </c>
      <c r="Q43" s="2" t="s">
        <v>91</v>
      </c>
      <c r="R43" s="2" t="s">
        <v>92</v>
      </c>
      <c r="S43" s="2" t="s">
        <v>68</v>
      </c>
      <c r="T43" s="2" t="s">
        <v>78</v>
      </c>
      <c r="U43" s="2" t="s">
        <v>88</v>
      </c>
      <c r="V43" s="2" t="s">
        <v>354</v>
      </c>
      <c r="W43" s="2" t="s">
        <v>81</v>
      </c>
      <c r="X43" s="2" t="s">
        <v>355</v>
      </c>
      <c r="Y43" s="2" t="s">
        <v>85</v>
      </c>
      <c r="Z43" s="2" t="s">
        <v>356</v>
      </c>
      <c r="AA43" s="2" t="s">
        <v>85</v>
      </c>
      <c r="AB43" s="26">
        <v>172</v>
      </c>
      <c r="AC43" s="26">
        <v>331</v>
      </c>
      <c r="AD43" s="26">
        <v>449</v>
      </c>
      <c r="AE43" s="27">
        <v>67120215</v>
      </c>
    </row>
    <row r="44" spans="1:31" ht="105" x14ac:dyDescent="0.25">
      <c r="A44" s="10" t="s">
        <v>357</v>
      </c>
      <c r="B44" s="2" t="s">
        <v>65</v>
      </c>
      <c r="C44" s="2" t="s">
        <v>66</v>
      </c>
      <c r="D44" s="2" t="s">
        <v>171</v>
      </c>
      <c r="E44" s="2" t="s">
        <v>68</v>
      </c>
      <c r="F44" s="2" t="s">
        <v>69</v>
      </c>
      <c r="G44" s="9">
        <v>41061</v>
      </c>
      <c r="H44" s="9">
        <v>41061</v>
      </c>
      <c r="I44" s="9">
        <v>42156</v>
      </c>
      <c r="J44" s="45">
        <v>3</v>
      </c>
      <c r="K44" s="9" t="s">
        <v>70</v>
      </c>
      <c r="L44" s="9" t="s">
        <v>70</v>
      </c>
      <c r="M44" s="2" t="s">
        <v>71</v>
      </c>
      <c r="N44" s="2" t="s">
        <v>358</v>
      </c>
      <c r="O44" s="2" t="s">
        <v>103</v>
      </c>
      <c r="P44" s="2" t="s">
        <v>359</v>
      </c>
      <c r="Q44" s="2" t="s">
        <v>75</v>
      </c>
      <c r="R44" s="20" t="s">
        <v>92</v>
      </c>
      <c r="S44" s="2" t="s">
        <v>68</v>
      </c>
      <c r="T44" s="2" t="s">
        <v>78</v>
      </c>
      <c r="U44" s="2" t="s">
        <v>79</v>
      </c>
      <c r="V44" s="2" t="s">
        <v>360</v>
      </c>
      <c r="W44" s="2" t="s">
        <v>81</v>
      </c>
      <c r="X44" s="2" t="s">
        <v>361</v>
      </c>
      <c r="Y44" s="2" t="s">
        <v>83</v>
      </c>
      <c r="Z44" s="2" t="s">
        <v>362</v>
      </c>
      <c r="AA44" s="2" t="s">
        <v>178</v>
      </c>
      <c r="AB44" s="26">
        <v>2</v>
      </c>
      <c r="AC44" s="26" t="s">
        <v>68</v>
      </c>
      <c r="AD44" s="30">
        <v>3003</v>
      </c>
      <c r="AE44" s="29">
        <v>7836084</v>
      </c>
    </row>
    <row r="45" spans="1:31" ht="105" x14ac:dyDescent="0.25">
      <c r="A45" s="10" t="s">
        <v>363</v>
      </c>
      <c r="B45" s="2" t="s">
        <v>65</v>
      </c>
      <c r="C45" s="2" t="s">
        <v>98</v>
      </c>
      <c r="D45" s="2" t="s">
        <v>68</v>
      </c>
      <c r="E45" s="2" t="s">
        <v>155</v>
      </c>
      <c r="F45" s="2" t="s">
        <v>100</v>
      </c>
      <c r="G45" s="9">
        <v>41395</v>
      </c>
      <c r="H45" s="9">
        <v>42005</v>
      </c>
      <c r="I45" s="9">
        <v>42979</v>
      </c>
      <c r="J45" s="45">
        <v>2.6666666666666665</v>
      </c>
      <c r="K45" s="9" t="s">
        <v>70</v>
      </c>
      <c r="L45" s="9" t="s">
        <v>70</v>
      </c>
      <c r="M45" s="2" t="s">
        <v>71</v>
      </c>
      <c r="N45" s="2" t="s">
        <v>364</v>
      </c>
      <c r="O45" s="2" t="s">
        <v>103</v>
      </c>
      <c r="P45" s="2" t="s">
        <v>365</v>
      </c>
      <c r="Q45" s="2" t="s">
        <v>91</v>
      </c>
      <c r="R45" s="2" t="s">
        <v>92</v>
      </c>
      <c r="S45" s="2" t="s">
        <v>68</v>
      </c>
      <c r="T45" s="2" t="s">
        <v>70</v>
      </c>
      <c r="U45" s="2" t="s">
        <v>79</v>
      </c>
      <c r="V45" s="2" t="s">
        <v>366</v>
      </c>
      <c r="W45" s="2" t="s">
        <v>106</v>
      </c>
      <c r="X45" s="2" t="s">
        <v>367</v>
      </c>
      <c r="Y45" s="2" t="s">
        <v>127</v>
      </c>
      <c r="Z45" s="2" t="s">
        <v>368</v>
      </c>
      <c r="AA45" s="2" t="s">
        <v>83</v>
      </c>
      <c r="AB45" s="26">
        <v>5</v>
      </c>
      <c r="AC45" s="26" t="s">
        <v>68</v>
      </c>
      <c r="AD45" s="30">
        <v>128721</v>
      </c>
      <c r="AE45" s="37">
        <v>7125770</v>
      </c>
    </row>
    <row r="46" spans="1:31" ht="82.5" customHeight="1" x14ac:dyDescent="0.25">
      <c r="A46" s="10" t="s">
        <v>369</v>
      </c>
      <c r="B46" s="2" t="s">
        <v>65</v>
      </c>
      <c r="C46" s="2" t="s">
        <v>98</v>
      </c>
      <c r="D46" s="2" t="s">
        <v>68</v>
      </c>
      <c r="E46" s="2" t="s">
        <v>370</v>
      </c>
      <c r="F46" s="2" t="s">
        <v>100</v>
      </c>
      <c r="G46" s="9">
        <v>41395</v>
      </c>
      <c r="H46" s="9">
        <v>41883</v>
      </c>
      <c r="I46" s="9">
        <v>42979</v>
      </c>
      <c r="J46" s="45">
        <v>3</v>
      </c>
      <c r="K46" s="9" t="s">
        <v>70</v>
      </c>
      <c r="L46" s="9" t="s">
        <v>70</v>
      </c>
      <c r="M46" s="2" t="s">
        <v>71</v>
      </c>
      <c r="N46" s="2" t="s">
        <v>172</v>
      </c>
      <c r="O46" s="2" t="s">
        <v>89</v>
      </c>
      <c r="P46" s="2" t="s">
        <v>189</v>
      </c>
      <c r="Q46" s="2" t="s">
        <v>75</v>
      </c>
      <c r="R46" s="2" t="s">
        <v>92</v>
      </c>
      <c r="S46" s="2" t="s">
        <v>77</v>
      </c>
      <c r="T46" s="2" t="s">
        <v>70</v>
      </c>
      <c r="U46" s="2" t="s">
        <v>79</v>
      </c>
      <c r="V46" s="2" t="s">
        <v>371</v>
      </c>
      <c r="W46" s="2" t="s">
        <v>106</v>
      </c>
      <c r="X46" s="2" t="s">
        <v>372</v>
      </c>
      <c r="Y46" s="2" t="s">
        <v>83</v>
      </c>
      <c r="Z46" s="2" t="s">
        <v>373</v>
      </c>
      <c r="AA46" s="2" t="s">
        <v>178</v>
      </c>
      <c r="AB46" s="26">
        <v>6</v>
      </c>
      <c r="AC46" s="26" t="s">
        <v>68</v>
      </c>
      <c r="AD46" s="30">
        <v>83946</v>
      </c>
      <c r="AE46" s="31">
        <v>17916663</v>
      </c>
    </row>
    <row r="47" spans="1:31" ht="165" x14ac:dyDescent="0.25">
      <c r="A47" s="10" t="s">
        <v>374</v>
      </c>
      <c r="B47" s="2" t="s">
        <v>65</v>
      </c>
      <c r="C47" s="2" t="s">
        <v>68</v>
      </c>
      <c r="D47" s="2" t="s">
        <v>68</v>
      </c>
      <c r="E47" s="2" t="s">
        <v>68</v>
      </c>
      <c r="F47" s="2" t="s">
        <v>375</v>
      </c>
      <c r="G47" s="9">
        <v>43497</v>
      </c>
      <c r="H47" s="9">
        <v>44197</v>
      </c>
      <c r="I47" s="9">
        <v>45992</v>
      </c>
      <c r="J47" s="45">
        <v>4.916666666666667</v>
      </c>
      <c r="K47" s="9" t="s">
        <v>70</v>
      </c>
      <c r="L47" s="9" t="s">
        <v>70</v>
      </c>
      <c r="M47" s="2" t="s">
        <v>71</v>
      </c>
      <c r="N47" s="2" t="s">
        <v>376</v>
      </c>
      <c r="O47" s="2" t="s">
        <v>103</v>
      </c>
      <c r="P47" s="2" t="s">
        <v>377</v>
      </c>
      <c r="Q47" s="2" t="s">
        <v>123</v>
      </c>
      <c r="R47" s="2" t="s">
        <v>76</v>
      </c>
      <c r="S47" s="2" t="s">
        <v>68</v>
      </c>
      <c r="T47" s="2" t="s">
        <v>78</v>
      </c>
      <c r="U47" s="2" t="s">
        <v>79</v>
      </c>
      <c r="V47" s="2" t="s">
        <v>378</v>
      </c>
      <c r="W47" s="2" t="s">
        <v>147</v>
      </c>
      <c r="X47" s="2" t="s">
        <v>147</v>
      </c>
      <c r="Y47" s="2" t="s">
        <v>147</v>
      </c>
      <c r="Z47" s="2" t="s">
        <v>147</v>
      </c>
      <c r="AA47" s="2" t="s">
        <v>147</v>
      </c>
      <c r="AB47" s="26" t="s">
        <v>88</v>
      </c>
      <c r="AC47" s="26">
        <v>184</v>
      </c>
      <c r="AD47" s="26" t="s">
        <v>88</v>
      </c>
      <c r="AE47" s="26" t="s">
        <v>79</v>
      </c>
    </row>
    <row r="48" spans="1:31" ht="150" x14ac:dyDescent="0.25">
      <c r="A48" s="10" t="s">
        <v>379</v>
      </c>
      <c r="B48" s="2" t="s">
        <v>65</v>
      </c>
      <c r="C48" s="2" t="s">
        <v>66</v>
      </c>
      <c r="D48" s="2" t="s">
        <v>324</v>
      </c>
      <c r="E48" s="2" t="s">
        <v>68</v>
      </c>
      <c r="F48" s="2" t="s">
        <v>69</v>
      </c>
      <c r="G48" s="9">
        <v>41061</v>
      </c>
      <c r="H48" s="9">
        <v>41061</v>
      </c>
      <c r="I48" s="9">
        <v>42185</v>
      </c>
      <c r="J48" s="45">
        <v>3.0805555555555557</v>
      </c>
      <c r="K48" s="9" t="s">
        <v>70</v>
      </c>
      <c r="L48" s="9" t="s">
        <v>70</v>
      </c>
      <c r="M48" s="2" t="s">
        <v>71</v>
      </c>
      <c r="N48" s="2" t="s">
        <v>380</v>
      </c>
      <c r="O48" s="2" t="s">
        <v>103</v>
      </c>
      <c r="P48" s="2" t="s">
        <v>381</v>
      </c>
      <c r="Q48" s="2" t="s">
        <v>256</v>
      </c>
      <c r="R48" s="20" t="s">
        <v>182</v>
      </c>
      <c r="S48" s="2" t="s">
        <v>68</v>
      </c>
      <c r="T48" s="2" t="s">
        <v>78</v>
      </c>
      <c r="U48" s="2" t="s">
        <v>79</v>
      </c>
      <c r="V48" s="2" t="s">
        <v>382</v>
      </c>
      <c r="W48" s="2" t="s">
        <v>81</v>
      </c>
      <c r="X48" s="2" t="s">
        <v>383</v>
      </c>
      <c r="Y48" s="2" t="s">
        <v>83</v>
      </c>
      <c r="Z48" s="2" t="s">
        <v>384</v>
      </c>
      <c r="AA48" s="2" t="s">
        <v>83</v>
      </c>
      <c r="AB48" s="26" t="s">
        <v>88</v>
      </c>
      <c r="AC48" s="26" t="s">
        <v>68</v>
      </c>
      <c r="AD48" s="28" t="s">
        <v>88</v>
      </c>
      <c r="AE48" s="29">
        <v>26172439</v>
      </c>
    </row>
    <row r="49" spans="1:31" ht="79.5" customHeight="1" x14ac:dyDescent="0.25">
      <c r="A49" s="10" t="s">
        <v>379</v>
      </c>
      <c r="B49" s="2" t="s">
        <v>65</v>
      </c>
      <c r="C49" s="2" t="s">
        <v>66</v>
      </c>
      <c r="D49" s="2" t="s">
        <v>385</v>
      </c>
      <c r="E49" s="2" t="s">
        <v>68</v>
      </c>
      <c r="F49" s="2" t="s">
        <v>69</v>
      </c>
      <c r="G49" s="9">
        <v>41061</v>
      </c>
      <c r="H49" s="9">
        <v>41061</v>
      </c>
      <c r="I49" s="9">
        <v>42369</v>
      </c>
      <c r="J49" s="45">
        <v>3.5833333333333335</v>
      </c>
      <c r="K49" s="9" t="s">
        <v>101</v>
      </c>
      <c r="L49" s="9" t="s">
        <v>70</v>
      </c>
      <c r="M49" s="2" t="s">
        <v>71</v>
      </c>
      <c r="N49" s="2" t="s">
        <v>386</v>
      </c>
      <c r="O49" s="2" t="s">
        <v>103</v>
      </c>
      <c r="P49" s="2" t="s">
        <v>381</v>
      </c>
      <c r="Q49" s="2" t="s">
        <v>256</v>
      </c>
      <c r="R49" s="2" t="s">
        <v>92</v>
      </c>
      <c r="S49" s="2" t="s">
        <v>93</v>
      </c>
      <c r="T49" s="2" t="s">
        <v>78</v>
      </c>
      <c r="U49" s="2" t="s">
        <v>79</v>
      </c>
      <c r="V49" s="2" t="s">
        <v>387</v>
      </c>
      <c r="W49" s="2" t="s">
        <v>81</v>
      </c>
      <c r="X49" s="2" t="s">
        <v>388</v>
      </c>
      <c r="Y49" s="2" t="s">
        <v>85</v>
      </c>
      <c r="Z49" s="2" t="s">
        <v>389</v>
      </c>
      <c r="AA49" s="2" t="s">
        <v>178</v>
      </c>
      <c r="AB49" s="26">
        <v>14</v>
      </c>
      <c r="AC49" s="26" t="s">
        <v>68</v>
      </c>
      <c r="AD49" s="30">
        <v>19125</v>
      </c>
      <c r="AE49" s="29">
        <v>26172439</v>
      </c>
    </row>
    <row r="50" spans="1:31" ht="105" x14ac:dyDescent="0.25">
      <c r="A50" s="10" t="s">
        <v>390</v>
      </c>
      <c r="B50" s="2" t="s">
        <v>199</v>
      </c>
      <c r="C50" s="2" t="s">
        <v>68</v>
      </c>
      <c r="D50" s="2" t="s">
        <v>68</v>
      </c>
      <c r="E50" s="2" t="s">
        <v>68</v>
      </c>
      <c r="F50" s="2" t="s">
        <v>100</v>
      </c>
      <c r="G50" s="9">
        <v>43647</v>
      </c>
      <c r="H50" s="9">
        <v>44197</v>
      </c>
      <c r="I50" s="9">
        <v>46539</v>
      </c>
      <c r="J50" s="45">
        <v>6.416666666666667</v>
      </c>
      <c r="K50" s="9" t="s">
        <v>70</v>
      </c>
      <c r="L50" s="9" t="s">
        <v>70</v>
      </c>
      <c r="M50" s="2" t="s">
        <v>120</v>
      </c>
      <c r="N50" s="2" t="s">
        <v>391</v>
      </c>
      <c r="O50" s="2" t="s">
        <v>103</v>
      </c>
      <c r="P50" s="2" t="s">
        <v>392</v>
      </c>
      <c r="Q50" s="2" t="s">
        <v>132</v>
      </c>
      <c r="R50" s="2" t="s">
        <v>76</v>
      </c>
      <c r="S50" s="2" t="s">
        <v>68</v>
      </c>
      <c r="T50" s="2" t="s">
        <v>78</v>
      </c>
      <c r="U50" s="2" t="s">
        <v>393</v>
      </c>
      <c r="V50" s="2" t="s">
        <v>394</v>
      </c>
      <c r="W50" s="2" t="s">
        <v>147</v>
      </c>
      <c r="X50" s="2" t="s">
        <v>147</v>
      </c>
      <c r="Y50" s="2" t="s">
        <v>147</v>
      </c>
      <c r="Z50" s="2" t="s">
        <v>147</v>
      </c>
      <c r="AA50" s="2" t="s">
        <v>147</v>
      </c>
      <c r="AB50" s="26" t="s">
        <v>147</v>
      </c>
      <c r="AC50" s="26" t="s">
        <v>147</v>
      </c>
      <c r="AD50" s="26" t="s">
        <v>147</v>
      </c>
      <c r="AE50" s="26" t="s">
        <v>79</v>
      </c>
    </row>
    <row r="51" spans="1:31" ht="60" x14ac:dyDescent="0.25">
      <c r="A51" s="10" t="s">
        <v>395</v>
      </c>
      <c r="B51" s="2" t="s">
        <v>65</v>
      </c>
      <c r="C51" s="2" t="s">
        <v>98</v>
      </c>
      <c r="D51" s="2" t="s">
        <v>68</v>
      </c>
      <c r="E51" s="2" t="s">
        <v>370</v>
      </c>
      <c r="F51" s="2" t="s">
        <v>100</v>
      </c>
      <c r="G51" s="9">
        <v>41395</v>
      </c>
      <c r="H51" s="9">
        <v>42058</v>
      </c>
      <c r="I51" s="9">
        <v>43159</v>
      </c>
      <c r="J51" s="45">
        <v>3.0138888888888888</v>
      </c>
      <c r="K51" s="9" t="s">
        <v>101</v>
      </c>
      <c r="L51" s="9" t="s">
        <v>70</v>
      </c>
      <c r="M51" s="2" t="s">
        <v>71</v>
      </c>
      <c r="N51" s="2" t="s">
        <v>396</v>
      </c>
      <c r="O51" s="2" t="s">
        <v>89</v>
      </c>
      <c r="P51" s="2" t="s">
        <v>397</v>
      </c>
      <c r="Q51" s="2" t="s">
        <v>75</v>
      </c>
      <c r="R51" s="2" t="s">
        <v>92</v>
      </c>
      <c r="S51" s="2" t="s">
        <v>77</v>
      </c>
      <c r="T51" s="2" t="s">
        <v>70</v>
      </c>
      <c r="U51" s="2" t="s">
        <v>79</v>
      </c>
      <c r="V51" s="2" t="s">
        <v>398</v>
      </c>
      <c r="W51" s="2" t="s">
        <v>106</v>
      </c>
      <c r="X51" s="2" t="s">
        <v>399</v>
      </c>
      <c r="Y51" s="2" t="s">
        <v>83</v>
      </c>
      <c r="Z51" s="2" t="s">
        <v>400</v>
      </c>
      <c r="AA51" s="2" t="s">
        <v>83</v>
      </c>
      <c r="AB51" s="26" t="s">
        <v>68</v>
      </c>
      <c r="AC51" s="26" t="s">
        <v>68</v>
      </c>
      <c r="AD51" s="30">
        <v>1340</v>
      </c>
      <c r="AE51" s="31">
        <v>4675383</v>
      </c>
    </row>
    <row r="52" spans="1:31" ht="75" x14ac:dyDescent="0.25">
      <c r="A52" s="10" t="s">
        <v>401</v>
      </c>
      <c r="B52" s="2" t="s">
        <v>65</v>
      </c>
      <c r="C52" s="2" t="s">
        <v>66</v>
      </c>
      <c r="D52" s="2" t="s">
        <v>162</v>
      </c>
      <c r="E52" s="2" t="s">
        <v>68</v>
      </c>
      <c r="F52" s="2" t="s">
        <v>69</v>
      </c>
      <c r="G52" s="9">
        <v>41061</v>
      </c>
      <c r="H52" s="9">
        <v>41061</v>
      </c>
      <c r="I52" s="9">
        <v>42156</v>
      </c>
      <c r="J52" s="45">
        <v>3</v>
      </c>
      <c r="K52" s="9" t="s">
        <v>70</v>
      </c>
      <c r="L52" s="9" t="s">
        <v>70</v>
      </c>
      <c r="M52" s="2" t="s">
        <v>71</v>
      </c>
      <c r="N52" s="2" t="s">
        <v>402</v>
      </c>
      <c r="O52" s="2" t="s">
        <v>73</v>
      </c>
      <c r="P52" s="2" t="s">
        <v>403</v>
      </c>
      <c r="Q52" s="2" t="s">
        <v>91</v>
      </c>
      <c r="R52" s="2" t="s">
        <v>92</v>
      </c>
      <c r="S52" s="2" t="s">
        <v>68</v>
      </c>
      <c r="T52" s="2" t="s">
        <v>78</v>
      </c>
      <c r="U52" s="2" t="s">
        <v>79</v>
      </c>
      <c r="V52" s="2" t="s">
        <v>404</v>
      </c>
      <c r="W52" s="2" t="s">
        <v>81</v>
      </c>
      <c r="X52" s="2" t="s">
        <v>405</v>
      </c>
      <c r="Y52" s="2" t="s">
        <v>127</v>
      </c>
      <c r="Z52" s="2" t="s">
        <v>406</v>
      </c>
      <c r="AA52" s="2" t="s">
        <v>85</v>
      </c>
      <c r="AB52" s="26">
        <v>8</v>
      </c>
      <c r="AC52" s="26" t="s">
        <v>68</v>
      </c>
      <c r="AD52" s="26">
        <v>1002</v>
      </c>
      <c r="AE52" s="29">
        <v>1097512</v>
      </c>
    </row>
    <row r="53" spans="1:31" ht="90" x14ac:dyDescent="0.25">
      <c r="A53" s="10" t="s">
        <v>407</v>
      </c>
      <c r="B53" s="2" t="s">
        <v>65</v>
      </c>
      <c r="C53" s="2" t="s">
        <v>66</v>
      </c>
      <c r="D53" s="2" t="s">
        <v>137</v>
      </c>
      <c r="E53" s="2" t="s">
        <v>68</v>
      </c>
      <c r="F53" s="2" t="s">
        <v>69</v>
      </c>
      <c r="G53" s="9">
        <v>41061</v>
      </c>
      <c r="H53" s="9">
        <v>41289</v>
      </c>
      <c r="I53" s="9">
        <v>42369</v>
      </c>
      <c r="J53" s="45">
        <v>2.9611111111111112</v>
      </c>
      <c r="K53" s="9" t="s">
        <v>212</v>
      </c>
      <c r="L53" s="9" t="s">
        <v>70</v>
      </c>
      <c r="M53" s="2" t="s">
        <v>71</v>
      </c>
      <c r="N53" s="2" t="s">
        <v>408</v>
      </c>
      <c r="O53" s="2" t="s">
        <v>103</v>
      </c>
      <c r="P53" s="2" t="s">
        <v>409</v>
      </c>
      <c r="Q53" s="2" t="s">
        <v>91</v>
      </c>
      <c r="R53" s="2" t="s">
        <v>76</v>
      </c>
      <c r="S53" s="2" t="s">
        <v>77</v>
      </c>
      <c r="T53" s="2" t="s">
        <v>78</v>
      </c>
      <c r="U53" s="2" t="s">
        <v>79</v>
      </c>
      <c r="V53" s="2" t="s">
        <v>410</v>
      </c>
      <c r="W53" s="2" t="s">
        <v>81</v>
      </c>
      <c r="X53" s="2" t="s">
        <v>411</v>
      </c>
      <c r="Y53" s="2" t="s">
        <v>83</v>
      </c>
      <c r="Z53" s="2" t="s">
        <v>412</v>
      </c>
      <c r="AA53" s="2" t="s">
        <v>178</v>
      </c>
      <c r="AB53" s="26">
        <v>6</v>
      </c>
      <c r="AC53" s="26" t="s">
        <v>68</v>
      </c>
      <c r="AD53" s="26">
        <v>514</v>
      </c>
      <c r="AE53" s="33">
        <v>3701525</v>
      </c>
    </row>
    <row r="54" spans="1:31" ht="75" x14ac:dyDescent="0.25">
      <c r="A54" s="10" t="s">
        <v>413</v>
      </c>
      <c r="B54" s="2" t="s">
        <v>414</v>
      </c>
      <c r="C54" s="2" t="s">
        <v>68</v>
      </c>
      <c r="D54" s="2" t="s">
        <v>68</v>
      </c>
      <c r="E54" s="2" t="s">
        <v>68</v>
      </c>
      <c r="F54" s="2" t="s">
        <v>100</v>
      </c>
      <c r="G54" s="9">
        <v>40725</v>
      </c>
      <c r="H54" s="9">
        <v>41518</v>
      </c>
      <c r="I54" s="9">
        <v>43435</v>
      </c>
      <c r="J54" s="45">
        <v>5.25</v>
      </c>
      <c r="K54" s="9" t="s">
        <v>70</v>
      </c>
      <c r="L54" s="9" t="s">
        <v>70</v>
      </c>
      <c r="M54" s="2" t="s">
        <v>71</v>
      </c>
      <c r="N54" s="2" t="s">
        <v>415</v>
      </c>
      <c r="O54" s="2" t="s">
        <v>103</v>
      </c>
      <c r="P54" s="2" t="s">
        <v>416</v>
      </c>
      <c r="Q54" s="2" t="s">
        <v>256</v>
      </c>
      <c r="R54" s="2" t="s">
        <v>417</v>
      </c>
      <c r="S54" s="2" t="s">
        <v>77</v>
      </c>
      <c r="T54" s="2" t="s">
        <v>78</v>
      </c>
      <c r="U54" s="2" t="s">
        <v>85</v>
      </c>
      <c r="V54" s="2" t="s">
        <v>418</v>
      </c>
      <c r="W54" s="2" t="s">
        <v>115</v>
      </c>
      <c r="X54" s="2" t="s">
        <v>419</v>
      </c>
      <c r="Y54" s="2" t="s">
        <v>85</v>
      </c>
      <c r="Z54" s="2" t="s">
        <v>420</v>
      </c>
      <c r="AA54" s="2" t="s">
        <v>85</v>
      </c>
      <c r="AB54" s="26" t="s">
        <v>68</v>
      </c>
      <c r="AC54" s="26" t="s">
        <v>68</v>
      </c>
      <c r="AD54" s="28">
        <f>113600+46000+18563+38500+37982+8893+69000+11511+43000+19170</f>
        <v>406219</v>
      </c>
      <c r="AE54" s="26" t="s">
        <v>68</v>
      </c>
    </row>
    <row r="55" spans="1:31" ht="74.25" customHeight="1" x14ac:dyDescent="0.25">
      <c r="A55" s="10" t="s">
        <v>421</v>
      </c>
      <c r="B55" s="2" t="s">
        <v>294</v>
      </c>
      <c r="C55" s="2" t="s">
        <v>68</v>
      </c>
      <c r="D55" s="2" t="s">
        <v>68</v>
      </c>
      <c r="E55" s="2" t="s">
        <v>68</v>
      </c>
      <c r="F55" s="2" t="s">
        <v>69</v>
      </c>
      <c r="G55" s="9">
        <v>40848</v>
      </c>
      <c r="H55" s="9">
        <v>40848</v>
      </c>
      <c r="I55" s="9">
        <v>41913</v>
      </c>
      <c r="J55" s="45">
        <v>2.9166666666666665</v>
      </c>
      <c r="K55" s="9" t="s">
        <v>70</v>
      </c>
      <c r="L55" s="9" t="s">
        <v>70</v>
      </c>
      <c r="M55" s="2" t="s">
        <v>71</v>
      </c>
      <c r="N55" s="2" t="s">
        <v>72</v>
      </c>
      <c r="O55" s="2" t="s">
        <v>103</v>
      </c>
      <c r="P55" s="2" t="s">
        <v>132</v>
      </c>
      <c r="Q55" s="2" t="s">
        <v>132</v>
      </c>
      <c r="R55" s="2" t="s">
        <v>76</v>
      </c>
      <c r="S55" s="2" t="s">
        <v>68</v>
      </c>
      <c r="T55" s="2" t="s">
        <v>78</v>
      </c>
      <c r="U55" s="2" t="s">
        <v>79</v>
      </c>
      <c r="V55" s="2" t="s">
        <v>422</v>
      </c>
      <c r="W55" s="2" t="s">
        <v>106</v>
      </c>
      <c r="X55" s="2" t="s">
        <v>423</v>
      </c>
      <c r="Y55" s="2" t="s">
        <v>83</v>
      </c>
      <c r="Z55" s="2" t="s">
        <v>424</v>
      </c>
      <c r="AA55" s="2" t="s">
        <v>83</v>
      </c>
      <c r="AB55" s="26">
        <v>503</v>
      </c>
      <c r="AC55" s="26" t="s">
        <v>68</v>
      </c>
      <c r="AD55" s="30">
        <v>2526213</v>
      </c>
      <c r="AE55" s="32">
        <f>45967680+24032862</f>
        <v>70000542</v>
      </c>
    </row>
    <row r="56" spans="1:31" ht="120" x14ac:dyDescent="0.25">
      <c r="A56" s="10" t="s">
        <v>425</v>
      </c>
      <c r="B56" s="2" t="s">
        <v>65</v>
      </c>
      <c r="C56" s="2" t="s">
        <v>66</v>
      </c>
      <c r="D56" s="2" t="s">
        <v>171</v>
      </c>
      <c r="E56" s="2" t="s">
        <v>68</v>
      </c>
      <c r="F56" s="2" t="s">
        <v>69</v>
      </c>
      <c r="G56" s="9">
        <v>41061</v>
      </c>
      <c r="H56" s="9">
        <v>41061</v>
      </c>
      <c r="I56" s="9">
        <v>42156</v>
      </c>
      <c r="J56" s="45">
        <v>3</v>
      </c>
      <c r="K56" s="9" t="s">
        <v>70</v>
      </c>
      <c r="L56" s="9" t="s">
        <v>70</v>
      </c>
      <c r="M56" s="2" t="s">
        <v>71</v>
      </c>
      <c r="N56" s="2" t="s">
        <v>426</v>
      </c>
      <c r="O56" s="2" t="s">
        <v>103</v>
      </c>
      <c r="P56" s="2" t="s">
        <v>427</v>
      </c>
      <c r="Q56" s="2" t="s">
        <v>91</v>
      </c>
      <c r="R56" s="2" t="s">
        <v>76</v>
      </c>
      <c r="S56" s="2" t="s">
        <v>93</v>
      </c>
      <c r="T56" s="2" t="s">
        <v>78</v>
      </c>
      <c r="U56" s="2" t="s">
        <v>79</v>
      </c>
      <c r="V56" s="2" t="s">
        <v>428</v>
      </c>
      <c r="W56" s="2" t="s">
        <v>81</v>
      </c>
      <c r="X56" s="2" t="s">
        <v>429</v>
      </c>
      <c r="Y56" s="2" t="s">
        <v>83</v>
      </c>
      <c r="Z56" s="2" t="s">
        <v>430</v>
      </c>
      <c r="AA56" s="2" t="s">
        <v>178</v>
      </c>
      <c r="AB56" s="26">
        <v>4</v>
      </c>
      <c r="AC56" s="26" t="s">
        <v>68</v>
      </c>
      <c r="AD56" s="26">
        <v>537</v>
      </c>
      <c r="AE56" s="29">
        <v>9773499</v>
      </c>
    </row>
    <row r="57" spans="1:31" ht="60" x14ac:dyDescent="0.25">
      <c r="A57" s="10" t="s">
        <v>431</v>
      </c>
      <c r="B57" s="2" t="s">
        <v>65</v>
      </c>
      <c r="C57" s="2" t="s">
        <v>68</v>
      </c>
      <c r="D57" s="2" t="s">
        <v>68</v>
      </c>
      <c r="E57" s="2" t="s">
        <v>68</v>
      </c>
      <c r="F57" s="2" t="s">
        <v>69</v>
      </c>
      <c r="G57" s="9">
        <v>42583</v>
      </c>
      <c r="H57" s="9">
        <v>42583</v>
      </c>
      <c r="I57" s="9">
        <v>46174</v>
      </c>
      <c r="J57" s="45">
        <v>9.8333333333333339</v>
      </c>
      <c r="K57" s="9" t="s">
        <v>101</v>
      </c>
      <c r="L57" s="9" t="s">
        <v>70</v>
      </c>
      <c r="M57" s="2" t="s">
        <v>71</v>
      </c>
      <c r="N57" s="2" t="s">
        <v>432</v>
      </c>
      <c r="O57" s="2" t="s">
        <v>73</v>
      </c>
      <c r="P57" s="2" t="s">
        <v>433</v>
      </c>
      <c r="Q57" s="2" t="s">
        <v>91</v>
      </c>
      <c r="R57" s="2" t="s">
        <v>76</v>
      </c>
      <c r="S57" s="2" t="s">
        <v>68</v>
      </c>
      <c r="T57" s="2" t="s">
        <v>78</v>
      </c>
      <c r="U57" s="2" t="s">
        <v>257</v>
      </c>
      <c r="V57" s="2" t="s">
        <v>434</v>
      </c>
      <c r="W57" s="2" t="s">
        <v>106</v>
      </c>
      <c r="X57" s="2" t="s">
        <v>435</v>
      </c>
      <c r="Y57" s="2" t="s">
        <v>83</v>
      </c>
      <c r="Z57" s="2" t="s">
        <v>436</v>
      </c>
      <c r="AA57" s="2" t="s">
        <v>83</v>
      </c>
      <c r="AB57" s="26">
        <v>10</v>
      </c>
      <c r="AC57" s="26">
        <f>5+2+19+3+29+1+3+5+3+3+11+1+2+2+2+13+1+1+2+4</f>
        <v>112</v>
      </c>
      <c r="AD57" s="28">
        <f>405+240+481+999+1253+240+867+1084+801+985</f>
        <v>7355</v>
      </c>
      <c r="AE57" s="26" t="s">
        <v>68</v>
      </c>
    </row>
    <row r="58" spans="1:31" ht="187.5" customHeight="1" x14ac:dyDescent="0.25">
      <c r="A58" s="10" t="s">
        <v>437</v>
      </c>
      <c r="B58" s="2" t="s">
        <v>438</v>
      </c>
      <c r="C58" s="2" t="s">
        <v>68</v>
      </c>
      <c r="D58" s="2" t="s">
        <v>68</v>
      </c>
      <c r="E58" s="2" t="s">
        <v>68</v>
      </c>
      <c r="F58" s="2" t="s">
        <v>69</v>
      </c>
      <c r="G58" s="9">
        <v>38929</v>
      </c>
      <c r="H58" s="9">
        <v>40270</v>
      </c>
      <c r="I58" s="9">
        <v>41366</v>
      </c>
      <c r="J58" s="45">
        <v>3</v>
      </c>
      <c r="K58" s="9" t="s">
        <v>70</v>
      </c>
      <c r="L58" s="9" t="s">
        <v>70</v>
      </c>
      <c r="M58" s="2" t="s">
        <v>71</v>
      </c>
      <c r="N58" s="2" t="s">
        <v>439</v>
      </c>
      <c r="O58" s="2" t="s">
        <v>73</v>
      </c>
      <c r="P58" s="2" t="s">
        <v>440</v>
      </c>
      <c r="Q58" s="2" t="s">
        <v>75</v>
      </c>
      <c r="R58" s="2" t="s">
        <v>76</v>
      </c>
      <c r="S58" s="2" t="s">
        <v>68</v>
      </c>
      <c r="T58" s="2" t="s">
        <v>78</v>
      </c>
      <c r="U58" s="2" t="s">
        <v>79</v>
      </c>
      <c r="V58" s="2" t="s">
        <v>441</v>
      </c>
      <c r="W58" s="2" t="s">
        <v>106</v>
      </c>
      <c r="X58" s="2" t="s">
        <v>442</v>
      </c>
      <c r="Y58" s="2" t="s">
        <v>85</v>
      </c>
      <c r="Z58" s="2" t="s">
        <v>443</v>
      </c>
      <c r="AA58" s="2" t="s">
        <v>178</v>
      </c>
      <c r="AB58" s="26">
        <v>5</v>
      </c>
      <c r="AC58" s="26">
        <f>6+2+3+3+4+1+1+3+1+4</f>
        <v>28</v>
      </c>
      <c r="AD58" s="28">
        <f>2352+1267+1480+8537+4955+277</f>
        <v>18868</v>
      </c>
      <c r="AE58" s="26" t="s">
        <v>68</v>
      </c>
    </row>
    <row r="59" spans="1:31" ht="60" x14ac:dyDescent="0.25">
      <c r="A59" s="10" t="s">
        <v>444</v>
      </c>
      <c r="B59" s="2" t="s">
        <v>65</v>
      </c>
      <c r="C59" s="2" t="s">
        <v>66</v>
      </c>
      <c r="D59" s="2" t="s">
        <v>67</v>
      </c>
      <c r="E59" s="2" t="s">
        <v>68</v>
      </c>
      <c r="F59" s="2" t="s">
        <v>69</v>
      </c>
      <c r="G59" s="9">
        <v>41061</v>
      </c>
      <c r="H59" s="9">
        <v>41214</v>
      </c>
      <c r="I59" s="9">
        <v>42156</v>
      </c>
      <c r="J59" s="45">
        <v>2.5833333333333335</v>
      </c>
      <c r="K59" s="9" t="s">
        <v>70</v>
      </c>
      <c r="L59" s="9" t="s">
        <v>70</v>
      </c>
      <c r="M59" s="2" t="s">
        <v>71</v>
      </c>
      <c r="N59" s="2" t="s">
        <v>445</v>
      </c>
      <c r="O59" s="2" t="s">
        <v>73</v>
      </c>
      <c r="P59" s="2" t="s">
        <v>446</v>
      </c>
      <c r="Q59" s="2" t="s">
        <v>75</v>
      </c>
      <c r="R59" s="2" t="s">
        <v>92</v>
      </c>
      <c r="S59" s="2" t="s">
        <v>77</v>
      </c>
      <c r="T59" s="2" t="s">
        <v>78</v>
      </c>
      <c r="U59" s="2" t="s">
        <v>79</v>
      </c>
      <c r="V59" s="2" t="s">
        <v>447</v>
      </c>
      <c r="W59" s="2" t="s">
        <v>81</v>
      </c>
      <c r="X59" s="2" t="s">
        <v>448</v>
      </c>
      <c r="Y59" s="2" t="s">
        <v>83</v>
      </c>
      <c r="Z59" s="2" t="s">
        <v>449</v>
      </c>
      <c r="AA59" s="2" t="s">
        <v>85</v>
      </c>
      <c r="AB59" s="26">
        <v>25</v>
      </c>
      <c r="AC59" s="26">
        <v>3040</v>
      </c>
      <c r="AD59" s="26">
        <v>12224</v>
      </c>
      <c r="AE59" s="27">
        <v>31922800</v>
      </c>
    </row>
    <row r="60" spans="1:31" ht="135" x14ac:dyDescent="0.25">
      <c r="A60" s="10" t="s">
        <v>450</v>
      </c>
      <c r="B60" s="2" t="s">
        <v>65</v>
      </c>
      <c r="C60" s="2" t="s">
        <v>68</v>
      </c>
      <c r="D60" s="2" t="s">
        <v>68</v>
      </c>
      <c r="E60" s="2" t="s">
        <v>68</v>
      </c>
      <c r="F60" s="2" t="s">
        <v>236</v>
      </c>
      <c r="G60" s="9">
        <v>44168</v>
      </c>
      <c r="H60" s="9" t="s">
        <v>88</v>
      </c>
      <c r="I60" s="9" t="s">
        <v>88</v>
      </c>
      <c r="J60" s="46" t="s">
        <v>88</v>
      </c>
      <c r="K60" s="9" t="s">
        <v>70</v>
      </c>
      <c r="L60" s="9" t="s">
        <v>70</v>
      </c>
      <c r="M60" s="2" t="s">
        <v>120</v>
      </c>
      <c r="N60" s="2" t="s">
        <v>451</v>
      </c>
      <c r="O60" s="2" t="s">
        <v>89</v>
      </c>
      <c r="P60" s="2" t="s">
        <v>452</v>
      </c>
      <c r="Q60" s="2" t="s">
        <v>91</v>
      </c>
      <c r="R60" s="2" t="s">
        <v>92</v>
      </c>
      <c r="S60" s="2" t="s">
        <v>68</v>
      </c>
      <c r="T60" s="2" t="s">
        <v>133</v>
      </c>
      <c r="U60" s="2" t="s">
        <v>393</v>
      </c>
      <c r="V60" s="2" t="s">
        <v>453</v>
      </c>
      <c r="W60" s="2" t="s">
        <v>147</v>
      </c>
      <c r="X60" s="2" t="s">
        <v>147</v>
      </c>
      <c r="Y60" s="2" t="s">
        <v>147</v>
      </c>
      <c r="Z60" s="2" t="s">
        <v>147</v>
      </c>
      <c r="AA60" s="2" t="s">
        <v>147</v>
      </c>
      <c r="AB60" s="26" t="s">
        <v>147</v>
      </c>
      <c r="AC60" s="26" t="s">
        <v>147</v>
      </c>
      <c r="AD60" s="26" t="s">
        <v>147</v>
      </c>
      <c r="AE60" s="26" t="s">
        <v>79</v>
      </c>
    </row>
    <row r="61" spans="1:31" ht="123" customHeight="1" x14ac:dyDescent="0.25">
      <c r="A61" s="10" t="s">
        <v>454</v>
      </c>
      <c r="B61" s="2" t="s">
        <v>65</v>
      </c>
      <c r="C61" s="2" t="s">
        <v>66</v>
      </c>
      <c r="D61" s="2" t="s">
        <v>324</v>
      </c>
      <c r="E61" s="2" t="s">
        <v>68</v>
      </c>
      <c r="F61" s="2" t="s">
        <v>69</v>
      </c>
      <c r="G61" s="9">
        <v>41061</v>
      </c>
      <c r="H61" s="9">
        <v>41061</v>
      </c>
      <c r="I61" s="9">
        <v>42185</v>
      </c>
      <c r="J61" s="45">
        <v>3.0805555555555557</v>
      </c>
      <c r="K61" s="9" t="s">
        <v>70</v>
      </c>
      <c r="L61" s="9" t="s">
        <v>70</v>
      </c>
      <c r="M61" s="2" t="s">
        <v>71</v>
      </c>
      <c r="N61" s="2" t="s">
        <v>455</v>
      </c>
      <c r="O61" s="2" t="s">
        <v>89</v>
      </c>
      <c r="P61" s="2" t="s">
        <v>346</v>
      </c>
      <c r="Q61" s="2" t="s">
        <v>91</v>
      </c>
      <c r="R61" s="2" t="s">
        <v>92</v>
      </c>
      <c r="S61" s="2" t="s">
        <v>68</v>
      </c>
      <c r="T61" s="2" t="s">
        <v>78</v>
      </c>
      <c r="U61" s="2" t="s">
        <v>79</v>
      </c>
      <c r="V61" s="2" t="s">
        <v>456</v>
      </c>
      <c r="W61" s="2" t="s">
        <v>81</v>
      </c>
      <c r="X61" s="2" t="s">
        <v>457</v>
      </c>
      <c r="Y61" s="2" t="s">
        <v>83</v>
      </c>
      <c r="Z61" s="2" t="s">
        <v>458</v>
      </c>
      <c r="AA61" s="2" t="s">
        <v>85</v>
      </c>
      <c r="AB61" s="26">
        <v>3</v>
      </c>
      <c r="AC61" s="26" t="s">
        <v>68</v>
      </c>
      <c r="AD61" s="28" t="s">
        <v>88</v>
      </c>
      <c r="AE61" s="29">
        <v>12728753</v>
      </c>
    </row>
    <row r="62" spans="1:31" ht="90" x14ac:dyDescent="0.25">
      <c r="A62" s="10" t="s">
        <v>459</v>
      </c>
      <c r="B62" s="2" t="s">
        <v>294</v>
      </c>
      <c r="C62" s="2" t="s">
        <v>68</v>
      </c>
      <c r="D62" s="2" t="s">
        <v>68</v>
      </c>
      <c r="E62" s="2" t="s">
        <v>68</v>
      </c>
      <c r="F62" s="2" t="s">
        <v>100</v>
      </c>
      <c r="G62" s="9">
        <v>43556</v>
      </c>
      <c r="H62" s="9">
        <v>44287</v>
      </c>
      <c r="I62" s="9">
        <v>46357</v>
      </c>
      <c r="J62" s="45">
        <v>5.666666666666667</v>
      </c>
      <c r="K62" s="9" t="s">
        <v>70</v>
      </c>
      <c r="L62" s="9" t="s">
        <v>70</v>
      </c>
      <c r="M62" s="2" t="s">
        <v>71</v>
      </c>
      <c r="N62" s="2" t="s">
        <v>460</v>
      </c>
      <c r="O62" s="2" t="s">
        <v>103</v>
      </c>
      <c r="P62" s="2" t="s">
        <v>461</v>
      </c>
      <c r="Q62" s="2" t="s">
        <v>123</v>
      </c>
      <c r="R62" s="2" t="s">
        <v>92</v>
      </c>
      <c r="S62" s="2" t="s">
        <v>68</v>
      </c>
      <c r="T62" s="2" t="s">
        <v>133</v>
      </c>
      <c r="U62" s="2" t="s">
        <v>85</v>
      </c>
      <c r="V62" s="2" t="s">
        <v>462</v>
      </c>
      <c r="W62" s="2" t="s">
        <v>147</v>
      </c>
      <c r="X62" s="2" t="s">
        <v>147</v>
      </c>
      <c r="Y62" s="2" t="s">
        <v>147</v>
      </c>
      <c r="Z62" s="2" t="s">
        <v>147</v>
      </c>
      <c r="AA62" s="2" t="s">
        <v>147</v>
      </c>
      <c r="AB62" s="26" t="s">
        <v>79</v>
      </c>
      <c r="AC62" s="26" t="s">
        <v>79</v>
      </c>
      <c r="AD62" s="26" t="s">
        <v>79</v>
      </c>
      <c r="AE62" s="26" t="s">
        <v>79</v>
      </c>
    </row>
    <row r="63" spans="1:31" ht="90" x14ac:dyDescent="0.25">
      <c r="A63" s="10" t="s">
        <v>463</v>
      </c>
      <c r="B63" s="2" t="s">
        <v>294</v>
      </c>
      <c r="C63" s="2" t="s">
        <v>68</v>
      </c>
      <c r="D63" s="2" t="s">
        <v>68</v>
      </c>
      <c r="E63" s="2" t="s">
        <v>68</v>
      </c>
      <c r="F63" s="2" t="s">
        <v>69</v>
      </c>
      <c r="G63" s="9">
        <v>41091</v>
      </c>
      <c r="H63" s="9">
        <v>41122</v>
      </c>
      <c r="I63" s="9">
        <v>43282</v>
      </c>
      <c r="J63" s="45">
        <v>5.916666666666667</v>
      </c>
      <c r="K63" s="9" t="s">
        <v>101</v>
      </c>
      <c r="L63" s="9" t="s">
        <v>70</v>
      </c>
      <c r="M63" s="2" t="s">
        <v>120</v>
      </c>
      <c r="N63" s="2" t="s">
        <v>464</v>
      </c>
      <c r="O63" s="2" t="s">
        <v>89</v>
      </c>
      <c r="P63" s="2" t="s">
        <v>465</v>
      </c>
      <c r="Q63" s="2" t="s">
        <v>91</v>
      </c>
      <c r="R63" s="2" t="s">
        <v>113</v>
      </c>
      <c r="S63" s="2" t="s">
        <v>113</v>
      </c>
      <c r="T63" s="2" t="s">
        <v>78</v>
      </c>
      <c r="U63" s="2" t="s">
        <v>79</v>
      </c>
      <c r="V63" s="2" t="s">
        <v>466</v>
      </c>
      <c r="W63" s="2" t="s">
        <v>106</v>
      </c>
      <c r="X63" s="2" t="s">
        <v>79</v>
      </c>
      <c r="Y63" s="2" t="s">
        <v>83</v>
      </c>
      <c r="Z63" s="2" t="s">
        <v>467</v>
      </c>
      <c r="AA63" s="2" t="s">
        <v>83</v>
      </c>
      <c r="AB63" s="26">
        <v>5</v>
      </c>
      <c r="AC63" s="26" t="s">
        <v>68</v>
      </c>
      <c r="AD63" s="26">
        <v>2314</v>
      </c>
      <c r="AE63" s="31">
        <v>176377494</v>
      </c>
    </row>
    <row r="64" spans="1:31" ht="75" x14ac:dyDescent="0.25">
      <c r="A64" s="10" t="s">
        <v>468</v>
      </c>
      <c r="B64" s="2" t="s">
        <v>65</v>
      </c>
      <c r="C64" s="2" t="s">
        <v>66</v>
      </c>
      <c r="D64" s="2" t="s">
        <v>137</v>
      </c>
      <c r="E64" s="2" t="s">
        <v>68</v>
      </c>
      <c r="F64" s="2" t="s">
        <v>69</v>
      </c>
      <c r="G64" s="9">
        <v>41061</v>
      </c>
      <c r="H64" s="9">
        <v>41270</v>
      </c>
      <c r="I64" s="9">
        <v>42369</v>
      </c>
      <c r="J64" s="45">
        <v>3.0111111111111111</v>
      </c>
      <c r="K64" s="9" t="s">
        <v>101</v>
      </c>
      <c r="L64" s="9" t="s">
        <v>70</v>
      </c>
      <c r="M64" s="2" t="s">
        <v>71</v>
      </c>
      <c r="N64" s="2" t="s">
        <v>469</v>
      </c>
      <c r="O64" s="2" t="s">
        <v>89</v>
      </c>
      <c r="P64" s="2" t="s">
        <v>139</v>
      </c>
      <c r="Q64" s="2" t="s">
        <v>75</v>
      </c>
      <c r="R64" s="2" t="s">
        <v>76</v>
      </c>
      <c r="S64" s="2" t="s">
        <v>77</v>
      </c>
      <c r="T64" s="2" t="s">
        <v>78</v>
      </c>
      <c r="U64" s="2" t="s">
        <v>79</v>
      </c>
      <c r="V64" s="2" t="s">
        <v>470</v>
      </c>
      <c r="W64" s="2" t="s">
        <v>81</v>
      </c>
      <c r="X64" s="2" t="s">
        <v>471</v>
      </c>
      <c r="Y64" s="2" t="s">
        <v>83</v>
      </c>
      <c r="Z64" s="2" t="s">
        <v>472</v>
      </c>
      <c r="AA64" s="2" t="s">
        <v>178</v>
      </c>
      <c r="AB64" s="26">
        <v>1</v>
      </c>
      <c r="AC64" s="26" t="s">
        <v>68</v>
      </c>
      <c r="AD64" s="26">
        <v>317</v>
      </c>
      <c r="AE64" s="33">
        <v>1109231</v>
      </c>
    </row>
    <row r="65" spans="1:31" ht="120" x14ac:dyDescent="0.25">
      <c r="A65" s="10" t="s">
        <v>473</v>
      </c>
      <c r="B65" s="2" t="s">
        <v>253</v>
      </c>
      <c r="C65" s="2" t="s">
        <v>68</v>
      </c>
      <c r="D65" s="2" t="s">
        <v>68</v>
      </c>
      <c r="E65" s="2" t="s">
        <v>68</v>
      </c>
      <c r="F65" s="2" t="s">
        <v>100</v>
      </c>
      <c r="G65" s="9">
        <v>42064</v>
      </c>
      <c r="H65" s="9">
        <v>42064</v>
      </c>
      <c r="I65" s="19" t="s">
        <v>474</v>
      </c>
      <c r="J65" s="45" t="s">
        <v>88</v>
      </c>
      <c r="K65" s="19" t="s">
        <v>70</v>
      </c>
      <c r="L65" s="9" t="s">
        <v>70</v>
      </c>
      <c r="M65" s="2" t="s">
        <v>71</v>
      </c>
      <c r="N65" s="2" t="s">
        <v>475</v>
      </c>
      <c r="O65" s="2" t="s">
        <v>103</v>
      </c>
      <c r="P65" s="2" t="s">
        <v>201</v>
      </c>
      <c r="Q65" s="2" t="s">
        <v>132</v>
      </c>
      <c r="R65" s="2" t="s">
        <v>417</v>
      </c>
      <c r="S65" s="2" t="s">
        <v>93</v>
      </c>
      <c r="T65" s="2" t="s">
        <v>133</v>
      </c>
      <c r="U65" s="2" t="s">
        <v>85</v>
      </c>
      <c r="V65" s="2" t="s">
        <v>476</v>
      </c>
      <c r="W65" s="2" t="s">
        <v>477</v>
      </c>
      <c r="X65" s="2" t="s">
        <v>478</v>
      </c>
      <c r="Y65" s="2" t="s">
        <v>85</v>
      </c>
      <c r="Z65" s="2" t="s">
        <v>479</v>
      </c>
      <c r="AA65" s="2" t="s">
        <v>85</v>
      </c>
      <c r="AB65" s="26" t="s">
        <v>68</v>
      </c>
      <c r="AC65" s="26" t="s">
        <v>68</v>
      </c>
      <c r="AD65" s="26" t="s">
        <v>68</v>
      </c>
      <c r="AE65" s="32">
        <f>23227056</f>
        <v>23227056</v>
      </c>
    </row>
    <row r="66" spans="1:31" ht="120" x14ac:dyDescent="0.25">
      <c r="A66" s="10" t="s">
        <v>480</v>
      </c>
      <c r="B66" s="2" t="s">
        <v>65</v>
      </c>
      <c r="C66" s="2" t="s">
        <v>66</v>
      </c>
      <c r="D66" s="2" t="s">
        <v>67</v>
      </c>
      <c r="E66" s="2" t="s">
        <v>68</v>
      </c>
      <c r="F66" s="2" t="s">
        <v>69</v>
      </c>
      <c r="G66" s="9">
        <v>41061</v>
      </c>
      <c r="H66" s="9">
        <v>41244</v>
      </c>
      <c r="I66" s="9">
        <v>42522</v>
      </c>
      <c r="J66" s="45">
        <v>3.5</v>
      </c>
      <c r="K66" s="9" t="s">
        <v>70</v>
      </c>
      <c r="L66" s="9" t="s">
        <v>70</v>
      </c>
      <c r="M66" s="2" t="s">
        <v>71</v>
      </c>
      <c r="N66" s="2" t="s">
        <v>469</v>
      </c>
      <c r="O66" s="2" t="s">
        <v>89</v>
      </c>
      <c r="P66" s="2" t="s">
        <v>481</v>
      </c>
      <c r="Q66" s="2" t="s">
        <v>75</v>
      </c>
      <c r="R66" s="2" t="s">
        <v>92</v>
      </c>
      <c r="S66" s="2" t="s">
        <v>68</v>
      </c>
      <c r="T66" s="2" t="s">
        <v>78</v>
      </c>
      <c r="U66" s="2" t="s">
        <v>79</v>
      </c>
      <c r="V66" s="2" t="s">
        <v>482</v>
      </c>
      <c r="W66" s="2" t="s">
        <v>81</v>
      </c>
      <c r="X66" s="2" t="s">
        <v>483</v>
      </c>
      <c r="Y66" s="2" t="s">
        <v>83</v>
      </c>
      <c r="Z66" s="2" t="s">
        <v>484</v>
      </c>
      <c r="AA66" s="2" t="s">
        <v>83</v>
      </c>
      <c r="AB66" s="26">
        <v>1</v>
      </c>
      <c r="AC66" s="26" t="s">
        <v>68</v>
      </c>
      <c r="AD66" s="26">
        <v>76</v>
      </c>
      <c r="AE66" s="29">
        <v>2330000</v>
      </c>
    </row>
    <row r="67" spans="1:31" ht="90" x14ac:dyDescent="0.25">
      <c r="A67" s="10" t="s">
        <v>485</v>
      </c>
      <c r="B67" s="2" t="s">
        <v>65</v>
      </c>
      <c r="C67" s="2" t="s">
        <v>98</v>
      </c>
      <c r="D67" s="2" t="s">
        <v>68</v>
      </c>
      <c r="E67" s="2" t="s">
        <v>370</v>
      </c>
      <c r="F67" s="2" t="s">
        <v>100</v>
      </c>
      <c r="G67" s="9">
        <v>41395</v>
      </c>
      <c r="H67" s="9">
        <v>41960</v>
      </c>
      <c r="I67" s="9">
        <v>42979</v>
      </c>
      <c r="J67" s="45">
        <v>2.7888888888888888</v>
      </c>
      <c r="K67" s="9" t="s">
        <v>70</v>
      </c>
      <c r="L67" s="9" t="s">
        <v>70</v>
      </c>
      <c r="M67" s="2" t="s">
        <v>71</v>
      </c>
      <c r="N67" s="2" t="s">
        <v>486</v>
      </c>
      <c r="O67" s="2" t="s">
        <v>89</v>
      </c>
      <c r="P67" s="2" t="s">
        <v>189</v>
      </c>
      <c r="Q67" s="2" t="s">
        <v>75</v>
      </c>
      <c r="R67" s="2" t="s">
        <v>92</v>
      </c>
      <c r="S67" s="2" t="s">
        <v>68</v>
      </c>
      <c r="T67" s="2" t="s">
        <v>70</v>
      </c>
      <c r="U67" s="2" t="s">
        <v>79</v>
      </c>
      <c r="V67" s="2" t="s">
        <v>487</v>
      </c>
      <c r="W67" s="2" t="s">
        <v>106</v>
      </c>
      <c r="X67" s="2" t="s">
        <v>488</v>
      </c>
      <c r="Y67" s="2" t="s">
        <v>83</v>
      </c>
      <c r="Z67" s="2" t="s">
        <v>489</v>
      </c>
      <c r="AA67" s="2" t="s">
        <v>83</v>
      </c>
      <c r="AB67" s="26" t="s">
        <v>68</v>
      </c>
      <c r="AC67" s="26" t="s">
        <v>68</v>
      </c>
      <c r="AD67" s="26">
        <v>705</v>
      </c>
      <c r="AE67" s="31">
        <v>2453742</v>
      </c>
    </row>
    <row r="68" spans="1:31" ht="90" x14ac:dyDescent="0.25">
      <c r="A68" s="10" t="s">
        <v>490</v>
      </c>
      <c r="B68" s="2" t="s">
        <v>65</v>
      </c>
      <c r="C68" s="2" t="s">
        <v>66</v>
      </c>
      <c r="D68" s="2" t="s">
        <v>137</v>
      </c>
      <c r="E68" s="2" t="s">
        <v>68</v>
      </c>
      <c r="F68" s="2" t="s">
        <v>69</v>
      </c>
      <c r="G68" s="9">
        <v>41061</v>
      </c>
      <c r="H68" s="9">
        <v>41159</v>
      </c>
      <c r="I68" s="9">
        <v>42185</v>
      </c>
      <c r="J68" s="45">
        <v>2.8138888888888891</v>
      </c>
      <c r="K68" s="9" t="s">
        <v>70</v>
      </c>
      <c r="L68" s="9" t="s">
        <v>70</v>
      </c>
      <c r="M68" s="2" t="s">
        <v>71</v>
      </c>
      <c r="N68" s="2" t="s">
        <v>491</v>
      </c>
      <c r="O68" s="2" t="s">
        <v>73</v>
      </c>
      <c r="P68" s="2" t="s">
        <v>481</v>
      </c>
      <c r="Q68" s="2" t="s">
        <v>75</v>
      </c>
      <c r="R68" s="2" t="s">
        <v>92</v>
      </c>
      <c r="S68" s="2" t="s">
        <v>77</v>
      </c>
      <c r="T68" s="2" t="s">
        <v>78</v>
      </c>
      <c r="U68" s="2" t="s">
        <v>79</v>
      </c>
      <c r="V68" s="2" t="s">
        <v>492</v>
      </c>
      <c r="W68" s="2" t="s">
        <v>81</v>
      </c>
      <c r="X68" s="2" t="s">
        <v>493</v>
      </c>
      <c r="Y68" s="2" t="s">
        <v>83</v>
      </c>
      <c r="Z68" s="2" t="s">
        <v>494</v>
      </c>
      <c r="AA68" s="2" t="s">
        <v>85</v>
      </c>
      <c r="AB68" s="26" t="s">
        <v>68</v>
      </c>
      <c r="AC68" s="26">
        <v>17</v>
      </c>
      <c r="AD68" s="26">
        <v>673</v>
      </c>
      <c r="AE68" s="27">
        <v>2884719</v>
      </c>
    </row>
    <row r="69" spans="1:31" ht="91.5" customHeight="1" x14ac:dyDescent="0.25">
      <c r="A69" s="10" t="s">
        <v>495</v>
      </c>
      <c r="B69" s="2" t="s">
        <v>65</v>
      </c>
      <c r="C69" s="2" t="s">
        <v>68</v>
      </c>
      <c r="D69" s="2" t="s">
        <v>68</v>
      </c>
      <c r="E69" s="2" t="s">
        <v>68</v>
      </c>
      <c r="F69" s="2" t="s">
        <v>69</v>
      </c>
      <c r="G69" s="9">
        <v>42309</v>
      </c>
      <c r="H69" s="9">
        <v>42370</v>
      </c>
      <c r="I69" s="9">
        <v>44166</v>
      </c>
      <c r="J69" s="45">
        <v>4.916666666666667</v>
      </c>
      <c r="K69" s="9" t="s">
        <v>70</v>
      </c>
      <c r="L69" s="9" t="s">
        <v>101</v>
      </c>
      <c r="M69" s="2" t="s">
        <v>120</v>
      </c>
      <c r="N69" s="2" t="s">
        <v>496</v>
      </c>
      <c r="O69" s="2" t="s">
        <v>103</v>
      </c>
      <c r="P69" s="2" t="s">
        <v>497</v>
      </c>
      <c r="Q69" s="2" t="s">
        <v>91</v>
      </c>
      <c r="R69" s="2" t="s">
        <v>92</v>
      </c>
      <c r="S69" s="2" t="s">
        <v>68</v>
      </c>
      <c r="T69" s="2" t="s">
        <v>78</v>
      </c>
      <c r="U69" s="2" t="s">
        <v>79</v>
      </c>
      <c r="V69" s="2" t="s">
        <v>498</v>
      </c>
      <c r="W69" s="2" t="s">
        <v>81</v>
      </c>
      <c r="X69" s="2" t="s">
        <v>499</v>
      </c>
      <c r="Y69" s="2" t="s">
        <v>127</v>
      </c>
      <c r="Z69" s="2" t="s">
        <v>500</v>
      </c>
      <c r="AA69" s="2" t="s">
        <v>178</v>
      </c>
      <c r="AB69" s="26">
        <v>2000</v>
      </c>
      <c r="AC69" s="26" t="s">
        <v>68</v>
      </c>
      <c r="AD69" s="26" t="s">
        <v>68</v>
      </c>
      <c r="AE69" s="32">
        <f>24863133</f>
        <v>24863133</v>
      </c>
    </row>
    <row r="70" spans="1:31" ht="77.25" customHeight="1" x14ac:dyDescent="0.25">
      <c r="A70" s="10" t="s">
        <v>501</v>
      </c>
      <c r="B70" s="2" t="s">
        <v>65</v>
      </c>
      <c r="C70" s="2" t="s">
        <v>66</v>
      </c>
      <c r="D70" s="2" t="s">
        <v>87</v>
      </c>
      <c r="E70" s="2" t="s">
        <v>68</v>
      </c>
      <c r="F70" s="2" t="s">
        <v>69</v>
      </c>
      <c r="G70" s="9">
        <v>41061</v>
      </c>
      <c r="H70" s="9">
        <v>41061</v>
      </c>
      <c r="I70" s="9">
        <v>42156</v>
      </c>
      <c r="J70" s="45">
        <v>3</v>
      </c>
      <c r="K70" s="9" t="s">
        <v>70</v>
      </c>
      <c r="L70" s="9" t="s">
        <v>70</v>
      </c>
      <c r="M70" s="2" t="s">
        <v>71</v>
      </c>
      <c r="N70" s="2" t="s">
        <v>502</v>
      </c>
      <c r="O70" s="2" t="s">
        <v>103</v>
      </c>
      <c r="P70" s="2" t="s">
        <v>503</v>
      </c>
      <c r="Q70" s="2" t="s">
        <v>91</v>
      </c>
      <c r="R70" s="2" t="s">
        <v>124</v>
      </c>
      <c r="S70" s="2" t="s">
        <v>77</v>
      </c>
      <c r="T70" s="2" t="s">
        <v>78</v>
      </c>
      <c r="U70" s="2" t="s">
        <v>79</v>
      </c>
      <c r="V70" s="2" t="s">
        <v>504</v>
      </c>
      <c r="W70" s="2" t="s">
        <v>81</v>
      </c>
      <c r="X70" s="2" t="s">
        <v>505</v>
      </c>
      <c r="Y70" s="2" t="s">
        <v>85</v>
      </c>
      <c r="Z70" s="2" t="s">
        <v>506</v>
      </c>
      <c r="AA70" s="2" t="s">
        <v>83</v>
      </c>
      <c r="AB70" s="26">
        <v>3</v>
      </c>
      <c r="AC70" s="30">
        <v>20</v>
      </c>
      <c r="AD70" s="26">
        <v>699</v>
      </c>
      <c r="AE70" s="33">
        <v>4162618</v>
      </c>
    </row>
    <row r="71" spans="1:31" ht="75" x14ac:dyDescent="0.25">
      <c r="A71" s="10" t="s">
        <v>507</v>
      </c>
      <c r="B71" s="2" t="s">
        <v>65</v>
      </c>
      <c r="C71" s="2" t="s">
        <v>66</v>
      </c>
      <c r="D71" s="2" t="s">
        <v>137</v>
      </c>
      <c r="E71" s="2" t="s">
        <v>68</v>
      </c>
      <c r="F71" s="2" t="s">
        <v>69</v>
      </c>
      <c r="G71" s="9">
        <v>41061</v>
      </c>
      <c r="H71" s="9">
        <v>41183</v>
      </c>
      <c r="I71" s="9">
        <v>42551</v>
      </c>
      <c r="J71" s="45">
        <v>3.7472222222222222</v>
      </c>
      <c r="K71" s="9" t="s">
        <v>212</v>
      </c>
      <c r="L71" s="9" t="s">
        <v>70</v>
      </c>
      <c r="M71" s="2" t="s">
        <v>71</v>
      </c>
      <c r="N71" s="2" t="s">
        <v>508</v>
      </c>
      <c r="O71" s="2" t="s">
        <v>73</v>
      </c>
      <c r="P71" s="2" t="s">
        <v>307</v>
      </c>
      <c r="Q71" s="2" t="s">
        <v>75</v>
      </c>
      <c r="R71" s="2" t="s">
        <v>92</v>
      </c>
      <c r="S71" s="2" t="s">
        <v>77</v>
      </c>
      <c r="T71" s="2" t="s">
        <v>78</v>
      </c>
      <c r="U71" s="2" t="s">
        <v>79</v>
      </c>
      <c r="V71" s="2" t="s">
        <v>509</v>
      </c>
      <c r="W71" s="2" t="s">
        <v>81</v>
      </c>
      <c r="X71" s="2" t="s">
        <v>510</v>
      </c>
      <c r="Y71" s="2" t="s">
        <v>83</v>
      </c>
      <c r="Z71" s="2" t="s">
        <v>511</v>
      </c>
      <c r="AA71" s="2" t="s">
        <v>85</v>
      </c>
      <c r="AB71" s="26">
        <v>7</v>
      </c>
      <c r="AC71" s="26" t="s">
        <v>68</v>
      </c>
      <c r="AD71" s="26">
        <v>913</v>
      </c>
      <c r="AE71" s="33">
        <v>2726216</v>
      </c>
    </row>
    <row r="72" spans="1:31" ht="105" x14ac:dyDescent="0.25">
      <c r="A72" s="10" t="s">
        <v>512</v>
      </c>
      <c r="B72" s="2" t="s">
        <v>65</v>
      </c>
      <c r="C72" s="2" t="s">
        <v>98</v>
      </c>
      <c r="D72" s="2" t="s">
        <v>68</v>
      </c>
      <c r="E72" s="49" t="s">
        <v>370</v>
      </c>
      <c r="F72" s="2" t="s">
        <v>100</v>
      </c>
      <c r="G72" s="9">
        <v>41395</v>
      </c>
      <c r="H72" s="9">
        <v>41883</v>
      </c>
      <c r="I72" s="9">
        <v>43069</v>
      </c>
      <c r="J72" s="45">
        <v>3.2472222222222222</v>
      </c>
      <c r="K72" s="9" t="s">
        <v>101</v>
      </c>
      <c r="L72" s="9" t="s">
        <v>70</v>
      </c>
      <c r="M72" s="2" t="s">
        <v>71</v>
      </c>
      <c r="N72" s="2" t="s">
        <v>513</v>
      </c>
      <c r="O72" s="2" t="s">
        <v>103</v>
      </c>
      <c r="P72" s="2" t="s">
        <v>157</v>
      </c>
      <c r="Q72" s="2" t="s">
        <v>75</v>
      </c>
      <c r="R72" s="2" t="s">
        <v>92</v>
      </c>
      <c r="S72" s="2" t="s">
        <v>68</v>
      </c>
      <c r="T72" s="2" t="s">
        <v>70</v>
      </c>
      <c r="U72" s="2" t="s">
        <v>79</v>
      </c>
      <c r="V72" s="2" t="s">
        <v>514</v>
      </c>
      <c r="W72" s="2" t="s">
        <v>106</v>
      </c>
      <c r="X72" s="2" t="s">
        <v>515</v>
      </c>
      <c r="Y72" s="2" t="s">
        <v>204</v>
      </c>
      <c r="Z72" s="2" t="s">
        <v>516</v>
      </c>
      <c r="AA72" s="2" t="s">
        <v>83</v>
      </c>
      <c r="AB72" s="26">
        <v>5</v>
      </c>
      <c r="AC72" s="26" t="s">
        <v>68</v>
      </c>
      <c r="AD72" s="30">
        <v>5652</v>
      </c>
      <c r="AE72" s="31">
        <v>9569123</v>
      </c>
    </row>
    <row r="73" spans="1:31" ht="75" x14ac:dyDescent="0.25">
      <c r="A73" s="10" t="s">
        <v>517</v>
      </c>
      <c r="B73" s="2" t="s">
        <v>294</v>
      </c>
      <c r="C73" s="2" t="s">
        <v>68</v>
      </c>
      <c r="D73" s="2" t="s">
        <v>68</v>
      </c>
      <c r="E73" s="2" t="s">
        <v>68</v>
      </c>
      <c r="F73" s="2" t="s">
        <v>100</v>
      </c>
      <c r="G73" s="9">
        <v>40878</v>
      </c>
      <c r="H73" s="9">
        <v>41061</v>
      </c>
      <c r="I73" s="9">
        <v>45261</v>
      </c>
      <c r="J73" s="45">
        <v>11.5</v>
      </c>
      <c r="K73" s="9" t="s">
        <v>101</v>
      </c>
      <c r="L73" s="9" t="s">
        <v>70</v>
      </c>
      <c r="M73" s="2" t="s">
        <v>71</v>
      </c>
      <c r="N73" s="2" t="s">
        <v>301</v>
      </c>
      <c r="O73" s="2" t="s">
        <v>103</v>
      </c>
      <c r="P73" s="2" t="s">
        <v>518</v>
      </c>
      <c r="Q73" s="2" t="s">
        <v>256</v>
      </c>
      <c r="R73" s="2" t="s">
        <v>92</v>
      </c>
      <c r="S73" s="2" t="s">
        <v>68</v>
      </c>
      <c r="T73" s="2" t="s">
        <v>78</v>
      </c>
      <c r="U73" s="2" t="s">
        <v>79</v>
      </c>
      <c r="V73" s="2" t="s">
        <v>519</v>
      </c>
      <c r="W73" s="2" t="s">
        <v>520</v>
      </c>
      <c r="X73" s="2" t="s">
        <v>521</v>
      </c>
      <c r="Y73" s="2" t="s">
        <v>83</v>
      </c>
      <c r="Z73" s="2" t="s">
        <v>522</v>
      </c>
      <c r="AA73" s="2" t="s">
        <v>83</v>
      </c>
      <c r="AB73" s="26">
        <v>18</v>
      </c>
      <c r="AC73" s="26" t="s">
        <v>68</v>
      </c>
      <c r="AD73" s="30">
        <v>9958</v>
      </c>
      <c r="AE73" s="34">
        <v>36963151</v>
      </c>
    </row>
    <row r="74" spans="1:31" ht="165" x14ac:dyDescent="0.25">
      <c r="A74" s="10" t="s">
        <v>523</v>
      </c>
      <c r="B74" s="2" t="s">
        <v>414</v>
      </c>
      <c r="C74" s="2" t="s">
        <v>68</v>
      </c>
      <c r="D74" s="2" t="s">
        <v>68</v>
      </c>
      <c r="E74" s="2" t="s">
        <v>68</v>
      </c>
      <c r="F74" s="2" t="s">
        <v>100</v>
      </c>
      <c r="G74" s="9">
        <v>42217</v>
      </c>
      <c r="H74" s="9">
        <v>42644</v>
      </c>
      <c r="I74" s="9">
        <v>44075</v>
      </c>
      <c r="J74" s="45">
        <v>3.9166666666666665</v>
      </c>
      <c r="K74" s="9" t="s">
        <v>70</v>
      </c>
      <c r="L74" s="9" t="s">
        <v>70</v>
      </c>
      <c r="M74" s="2" t="s">
        <v>71</v>
      </c>
      <c r="N74" s="2" t="s">
        <v>524</v>
      </c>
      <c r="O74" s="2" t="s">
        <v>103</v>
      </c>
      <c r="P74" s="2" t="s">
        <v>525</v>
      </c>
      <c r="Q74" s="2" t="s">
        <v>91</v>
      </c>
      <c r="R74" s="2" t="s">
        <v>182</v>
      </c>
      <c r="S74" s="2" t="s">
        <v>77</v>
      </c>
      <c r="T74" s="2" t="s">
        <v>78</v>
      </c>
      <c r="U74" s="2" t="s">
        <v>79</v>
      </c>
      <c r="V74" s="2" t="s">
        <v>526</v>
      </c>
      <c r="W74" s="2" t="s">
        <v>81</v>
      </c>
      <c r="X74" s="2" t="s">
        <v>527</v>
      </c>
      <c r="Y74" s="2" t="s">
        <v>85</v>
      </c>
      <c r="Z74" s="2" t="s">
        <v>528</v>
      </c>
      <c r="AA74" s="2" t="s">
        <v>85</v>
      </c>
      <c r="AB74" s="26">
        <v>7</v>
      </c>
      <c r="AC74" s="26" t="s">
        <v>88</v>
      </c>
      <c r="AD74" s="30">
        <v>23900</v>
      </c>
      <c r="AE74" s="34" t="s">
        <v>88</v>
      </c>
    </row>
    <row r="75" spans="1:31" ht="90" x14ac:dyDescent="0.25">
      <c r="A75" s="10" t="s">
        <v>529</v>
      </c>
      <c r="B75" s="2" t="s">
        <v>414</v>
      </c>
      <c r="C75" s="2" t="s">
        <v>68</v>
      </c>
      <c r="D75" s="2" t="s">
        <v>68</v>
      </c>
      <c r="E75" s="2" t="s">
        <v>68</v>
      </c>
      <c r="F75" s="2" t="s">
        <v>69</v>
      </c>
      <c r="G75" s="9">
        <v>40969</v>
      </c>
      <c r="H75" s="9">
        <v>41153</v>
      </c>
      <c r="I75" s="9">
        <v>42614</v>
      </c>
      <c r="J75" s="45">
        <v>4</v>
      </c>
      <c r="K75" s="9" t="s">
        <v>101</v>
      </c>
      <c r="L75" s="9" t="s">
        <v>70</v>
      </c>
      <c r="M75" s="2" t="s">
        <v>71</v>
      </c>
      <c r="N75" s="2" t="s">
        <v>524</v>
      </c>
      <c r="O75" s="2" t="s">
        <v>103</v>
      </c>
      <c r="P75" s="2" t="s">
        <v>530</v>
      </c>
      <c r="Q75" s="2" t="s">
        <v>91</v>
      </c>
      <c r="R75" s="2" t="s">
        <v>182</v>
      </c>
      <c r="S75" s="2" t="s">
        <v>77</v>
      </c>
      <c r="T75" s="2" t="s">
        <v>78</v>
      </c>
      <c r="U75" s="2" t="s">
        <v>79</v>
      </c>
      <c r="V75" s="2" t="s">
        <v>531</v>
      </c>
      <c r="W75" s="2" t="s">
        <v>106</v>
      </c>
      <c r="X75" s="2" t="s">
        <v>532</v>
      </c>
      <c r="Y75" s="2" t="s">
        <v>127</v>
      </c>
      <c r="Z75" s="2" t="s">
        <v>533</v>
      </c>
      <c r="AA75" s="2" t="s">
        <v>83</v>
      </c>
      <c r="AB75" s="26">
        <v>7</v>
      </c>
      <c r="AC75" s="26" t="s">
        <v>88</v>
      </c>
      <c r="AD75" s="28" t="s">
        <v>88</v>
      </c>
      <c r="AE75" s="32">
        <f>78900786+11245590</f>
        <v>90146376</v>
      </c>
    </row>
    <row r="76" spans="1:31" ht="75" x14ac:dyDescent="0.25">
      <c r="A76" s="10" t="s">
        <v>534</v>
      </c>
      <c r="B76" s="2" t="s">
        <v>65</v>
      </c>
      <c r="C76" s="2" t="s">
        <v>66</v>
      </c>
      <c r="D76" s="2" t="s">
        <v>324</v>
      </c>
      <c r="E76" s="2" t="s">
        <v>68</v>
      </c>
      <c r="F76" s="2" t="s">
        <v>69</v>
      </c>
      <c r="G76" s="9">
        <v>41061</v>
      </c>
      <c r="H76" s="9">
        <v>41354</v>
      </c>
      <c r="I76" s="9">
        <v>42185</v>
      </c>
      <c r="J76" s="45">
        <v>2.2749999999999999</v>
      </c>
      <c r="K76" s="9" t="s">
        <v>70</v>
      </c>
      <c r="L76" s="9" t="s">
        <v>70</v>
      </c>
      <c r="M76" s="2" t="s">
        <v>71</v>
      </c>
      <c r="N76" s="2" t="s">
        <v>535</v>
      </c>
      <c r="O76" s="2" t="s">
        <v>89</v>
      </c>
      <c r="P76" s="2" t="s">
        <v>263</v>
      </c>
      <c r="Q76" s="2" t="s">
        <v>75</v>
      </c>
      <c r="R76" s="2" t="s">
        <v>76</v>
      </c>
      <c r="S76" s="2" t="s">
        <v>77</v>
      </c>
      <c r="T76" s="2" t="s">
        <v>78</v>
      </c>
      <c r="U76" s="2" t="s">
        <v>79</v>
      </c>
      <c r="V76" s="2" t="s">
        <v>536</v>
      </c>
      <c r="W76" s="2" t="s">
        <v>81</v>
      </c>
      <c r="X76" s="2" t="s">
        <v>537</v>
      </c>
      <c r="Y76" s="2" t="s">
        <v>83</v>
      </c>
      <c r="Z76" s="2" t="s">
        <v>537</v>
      </c>
      <c r="AA76" s="2" t="s">
        <v>83</v>
      </c>
      <c r="AB76" s="26">
        <v>1</v>
      </c>
      <c r="AC76" s="26" t="s">
        <v>68</v>
      </c>
      <c r="AD76" s="30">
        <v>125182</v>
      </c>
      <c r="AE76" s="29">
        <v>6078073</v>
      </c>
    </row>
    <row r="77" spans="1:31" ht="173.25" customHeight="1" x14ac:dyDescent="0.25">
      <c r="A77" s="10" t="s">
        <v>538</v>
      </c>
      <c r="B77" s="2" t="s">
        <v>65</v>
      </c>
      <c r="C77" s="2" t="s">
        <v>66</v>
      </c>
      <c r="D77" s="2" t="s">
        <v>162</v>
      </c>
      <c r="E77" s="2" t="s">
        <v>68</v>
      </c>
      <c r="F77" s="2" t="s">
        <v>69</v>
      </c>
      <c r="G77" s="9">
        <v>41061</v>
      </c>
      <c r="H77" s="9">
        <v>41061</v>
      </c>
      <c r="I77" s="9">
        <v>42156</v>
      </c>
      <c r="J77" s="45">
        <v>3</v>
      </c>
      <c r="K77" s="9" t="s">
        <v>70</v>
      </c>
      <c r="L77" s="9" t="s">
        <v>70</v>
      </c>
      <c r="M77" s="2" t="s">
        <v>71</v>
      </c>
      <c r="N77" s="2" t="s">
        <v>72</v>
      </c>
      <c r="O77" s="2" t="s">
        <v>89</v>
      </c>
      <c r="P77" s="2" t="s">
        <v>539</v>
      </c>
      <c r="Q77" s="2" t="s">
        <v>75</v>
      </c>
      <c r="R77" s="2" t="s">
        <v>76</v>
      </c>
      <c r="S77" s="2" t="s">
        <v>77</v>
      </c>
      <c r="T77" s="2" t="s">
        <v>78</v>
      </c>
      <c r="U77" s="2" t="s">
        <v>79</v>
      </c>
      <c r="V77" s="2" t="s">
        <v>540</v>
      </c>
      <c r="W77" s="2" t="s">
        <v>81</v>
      </c>
      <c r="X77" s="2" t="s">
        <v>541</v>
      </c>
      <c r="Y77" s="2" t="s">
        <v>83</v>
      </c>
      <c r="Z77" s="2" t="s">
        <v>542</v>
      </c>
      <c r="AA77" s="2" t="s">
        <v>83</v>
      </c>
      <c r="AB77" s="26">
        <v>8</v>
      </c>
      <c r="AC77" s="26" t="s">
        <v>68</v>
      </c>
      <c r="AD77" s="26">
        <v>3133</v>
      </c>
      <c r="AE77" s="29">
        <v>19789999</v>
      </c>
    </row>
    <row r="78" spans="1:31" ht="135" x14ac:dyDescent="0.25">
      <c r="A78" s="10" t="s">
        <v>543</v>
      </c>
      <c r="B78" s="2" t="s">
        <v>65</v>
      </c>
      <c r="C78" s="2" t="s">
        <v>66</v>
      </c>
      <c r="D78" s="2" t="s">
        <v>87</v>
      </c>
      <c r="E78" s="2" t="s">
        <v>68</v>
      </c>
      <c r="F78" s="2" t="s">
        <v>69</v>
      </c>
      <c r="G78" s="9">
        <v>41061</v>
      </c>
      <c r="H78" s="9">
        <v>41190</v>
      </c>
      <c r="I78" s="9">
        <v>42551</v>
      </c>
      <c r="J78" s="45">
        <v>3.7277777777777779</v>
      </c>
      <c r="K78" s="9" t="s">
        <v>212</v>
      </c>
      <c r="L78" s="9" t="s">
        <v>70</v>
      </c>
      <c r="M78" s="2" t="s">
        <v>71</v>
      </c>
      <c r="N78" s="2" t="s">
        <v>544</v>
      </c>
      <c r="O78" s="2" t="s">
        <v>89</v>
      </c>
      <c r="P78" s="2" t="s">
        <v>139</v>
      </c>
      <c r="Q78" s="2" t="s">
        <v>75</v>
      </c>
      <c r="R78" s="2" t="s">
        <v>124</v>
      </c>
      <c r="S78" s="2" t="s">
        <v>68</v>
      </c>
      <c r="T78" s="2" t="s">
        <v>78</v>
      </c>
      <c r="U78" s="2" t="s">
        <v>79</v>
      </c>
      <c r="V78" s="2" t="s">
        <v>545</v>
      </c>
      <c r="W78" s="2" t="s">
        <v>81</v>
      </c>
      <c r="X78" s="2" t="s">
        <v>383</v>
      </c>
      <c r="Y78" s="2" t="s">
        <v>83</v>
      </c>
      <c r="Z78" s="2" t="s">
        <v>546</v>
      </c>
      <c r="AA78" s="2" t="s">
        <v>178</v>
      </c>
      <c r="AB78" s="26">
        <v>5</v>
      </c>
      <c r="AC78" s="26" t="s">
        <v>68</v>
      </c>
      <c r="AD78" s="30">
        <v>6753</v>
      </c>
      <c r="AE78" s="29">
        <v>12007677</v>
      </c>
    </row>
    <row r="79" spans="1:31" ht="120" x14ac:dyDescent="0.25">
      <c r="A79" s="10" t="s">
        <v>547</v>
      </c>
      <c r="B79" s="2" t="s">
        <v>65</v>
      </c>
      <c r="C79" s="2" t="s">
        <v>66</v>
      </c>
      <c r="D79" s="2" t="s">
        <v>162</v>
      </c>
      <c r="E79" s="2" t="s">
        <v>68</v>
      </c>
      <c r="F79" s="2" t="s">
        <v>69</v>
      </c>
      <c r="G79" s="9">
        <v>41061</v>
      </c>
      <c r="H79" s="9">
        <v>41395</v>
      </c>
      <c r="I79" s="9">
        <v>42156</v>
      </c>
      <c r="J79" s="45">
        <v>2.0833333333333335</v>
      </c>
      <c r="K79" s="9" t="s">
        <v>70</v>
      </c>
      <c r="L79" s="9" t="s">
        <v>70</v>
      </c>
      <c r="M79" s="2" t="s">
        <v>71</v>
      </c>
      <c r="N79" s="2" t="s">
        <v>548</v>
      </c>
      <c r="O79" s="2" t="s">
        <v>89</v>
      </c>
      <c r="P79" s="2" t="s">
        <v>549</v>
      </c>
      <c r="Q79" s="2" t="s">
        <v>91</v>
      </c>
      <c r="R79" s="2" t="s">
        <v>76</v>
      </c>
      <c r="S79" s="2" t="s">
        <v>77</v>
      </c>
      <c r="T79" s="2" t="s">
        <v>78</v>
      </c>
      <c r="U79" s="2" t="s">
        <v>79</v>
      </c>
      <c r="V79" s="2" t="s">
        <v>550</v>
      </c>
      <c r="W79" s="2" t="s">
        <v>81</v>
      </c>
      <c r="X79" s="2" t="s">
        <v>551</v>
      </c>
      <c r="Y79" s="2" t="s">
        <v>83</v>
      </c>
      <c r="Z79" s="2" t="s">
        <v>552</v>
      </c>
      <c r="AA79" s="2" t="s">
        <v>83</v>
      </c>
      <c r="AB79" s="26">
        <v>23</v>
      </c>
      <c r="AC79" s="26" t="s">
        <v>68</v>
      </c>
      <c r="AD79" s="26">
        <v>15008</v>
      </c>
      <c r="AE79" s="33">
        <v>19139861</v>
      </c>
    </row>
    <row r="80" spans="1:31" ht="120" x14ac:dyDescent="0.25">
      <c r="A80" s="10" t="s">
        <v>553</v>
      </c>
      <c r="B80" s="2" t="s">
        <v>65</v>
      </c>
      <c r="C80" s="2" t="s">
        <v>68</v>
      </c>
      <c r="D80" s="2" t="s">
        <v>68</v>
      </c>
      <c r="E80" s="2" t="s">
        <v>68</v>
      </c>
      <c r="F80" s="2" t="s">
        <v>554</v>
      </c>
      <c r="G80" s="9">
        <v>43374</v>
      </c>
      <c r="H80" s="9" t="s">
        <v>88</v>
      </c>
      <c r="I80" s="9" t="s">
        <v>88</v>
      </c>
      <c r="J80" s="46" t="s">
        <v>88</v>
      </c>
      <c r="K80" s="9" t="s">
        <v>70</v>
      </c>
      <c r="L80" s="9" t="s">
        <v>70</v>
      </c>
      <c r="M80" s="2" t="s">
        <v>88</v>
      </c>
      <c r="N80" s="2" t="s">
        <v>555</v>
      </c>
      <c r="O80" s="2" t="s">
        <v>88</v>
      </c>
      <c r="P80" s="2" t="s">
        <v>201</v>
      </c>
      <c r="Q80" s="2" t="s">
        <v>88</v>
      </c>
      <c r="R80" s="2" t="s">
        <v>76</v>
      </c>
      <c r="S80" s="2" t="s">
        <v>68</v>
      </c>
      <c r="T80" s="2" t="s">
        <v>78</v>
      </c>
      <c r="U80" s="2" t="s">
        <v>79</v>
      </c>
      <c r="V80" s="2" t="s">
        <v>556</v>
      </c>
      <c r="W80" s="2" t="s">
        <v>147</v>
      </c>
      <c r="X80" s="2" t="s">
        <v>147</v>
      </c>
      <c r="Y80" s="2" t="s">
        <v>147</v>
      </c>
      <c r="Z80" s="2" t="s">
        <v>147</v>
      </c>
      <c r="AA80" s="2" t="s">
        <v>147</v>
      </c>
      <c r="AB80" s="26" t="s">
        <v>79</v>
      </c>
      <c r="AC80" s="26" t="s">
        <v>79</v>
      </c>
      <c r="AD80" s="26" t="s">
        <v>79</v>
      </c>
      <c r="AE80" s="26" t="s">
        <v>79</v>
      </c>
    </row>
    <row r="81" spans="1:31" ht="90" x14ac:dyDescent="0.25">
      <c r="A81" s="10" t="s">
        <v>557</v>
      </c>
      <c r="B81" s="2" t="s">
        <v>65</v>
      </c>
      <c r="C81" s="2" t="s">
        <v>66</v>
      </c>
      <c r="D81" s="2" t="s">
        <v>137</v>
      </c>
      <c r="E81" s="2" t="s">
        <v>68</v>
      </c>
      <c r="F81" s="2" t="s">
        <v>69</v>
      </c>
      <c r="G81" s="9">
        <v>41061</v>
      </c>
      <c r="H81" s="9">
        <v>41091</v>
      </c>
      <c r="I81" s="9">
        <v>42551</v>
      </c>
      <c r="J81" s="45">
        <v>3.9972222222222222</v>
      </c>
      <c r="K81" s="9" t="s">
        <v>212</v>
      </c>
      <c r="L81" s="9" t="s">
        <v>70</v>
      </c>
      <c r="M81" s="2" t="s">
        <v>71</v>
      </c>
      <c r="N81" s="2" t="s">
        <v>558</v>
      </c>
      <c r="O81" s="2" t="s">
        <v>89</v>
      </c>
      <c r="P81" s="2" t="s">
        <v>214</v>
      </c>
      <c r="Q81" s="2" t="s">
        <v>75</v>
      </c>
      <c r="R81" s="2" t="s">
        <v>92</v>
      </c>
      <c r="S81" s="2" t="s">
        <v>77</v>
      </c>
      <c r="T81" s="2" t="s">
        <v>78</v>
      </c>
      <c r="U81" s="2" t="s">
        <v>79</v>
      </c>
      <c r="V81" s="2" t="s">
        <v>559</v>
      </c>
      <c r="W81" s="2" t="s">
        <v>81</v>
      </c>
      <c r="X81" s="2" t="s">
        <v>560</v>
      </c>
      <c r="Y81" s="2" t="s">
        <v>127</v>
      </c>
      <c r="Z81" s="2" t="s">
        <v>561</v>
      </c>
      <c r="AA81" s="2" t="s">
        <v>85</v>
      </c>
      <c r="AB81" s="26">
        <v>1</v>
      </c>
      <c r="AC81" s="26" t="s">
        <v>68</v>
      </c>
      <c r="AD81" s="26">
        <v>80257</v>
      </c>
      <c r="AE81" s="33">
        <v>19920338</v>
      </c>
    </row>
    <row r="82" spans="1:31" ht="105" x14ac:dyDescent="0.25">
      <c r="A82" s="10" t="s">
        <v>562</v>
      </c>
      <c r="B82" s="2" t="s">
        <v>119</v>
      </c>
      <c r="C82" s="2" t="s">
        <v>68</v>
      </c>
      <c r="D82" s="2" t="s">
        <v>68</v>
      </c>
      <c r="E82" s="2" t="s">
        <v>68</v>
      </c>
      <c r="F82" s="2" t="s">
        <v>563</v>
      </c>
      <c r="G82" s="9">
        <v>43647</v>
      </c>
      <c r="H82" s="9">
        <v>44562</v>
      </c>
      <c r="I82" s="9">
        <v>46357</v>
      </c>
      <c r="J82" s="45">
        <v>4.916666666666667</v>
      </c>
      <c r="K82" s="9" t="s">
        <v>70</v>
      </c>
      <c r="L82" s="9" t="s">
        <v>70</v>
      </c>
      <c r="M82" s="2" t="s">
        <v>71</v>
      </c>
      <c r="N82" s="2" t="s">
        <v>564</v>
      </c>
      <c r="O82" s="2" t="s">
        <v>88</v>
      </c>
      <c r="P82" s="2" t="s">
        <v>132</v>
      </c>
      <c r="Q82" s="2" t="s">
        <v>132</v>
      </c>
      <c r="R82" s="2" t="s">
        <v>92</v>
      </c>
      <c r="S82" s="2" t="s">
        <v>68</v>
      </c>
      <c r="T82" s="2" t="s">
        <v>133</v>
      </c>
      <c r="U82" s="2" t="s">
        <v>85</v>
      </c>
      <c r="V82" s="2" t="s">
        <v>565</v>
      </c>
      <c r="W82" s="2" t="s">
        <v>147</v>
      </c>
      <c r="X82" s="2" t="s">
        <v>147</v>
      </c>
      <c r="Y82" s="2" t="s">
        <v>147</v>
      </c>
      <c r="Z82" s="2" t="s">
        <v>147</v>
      </c>
      <c r="AA82" s="2" t="s">
        <v>147</v>
      </c>
      <c r="AB82" s="26" t="s">
        <v>79</v>
      </c>
      <c r="AC82" s="26" t="s">
        <v>79</v>
      </c>
      <c r="AD82" s="26" t="s">
        <v>79</v>
      </c>
      <c r="AE82" s="26" t="s">
        <v>79</v>
      </c>
    </row>
    <row r="83" spans="1:31" ht="144.75" customHeight="1" x14ac:dyDescent="0.25">
      <c r="A83" s="10" t="s">
        <v>566</v>
      </c>
      <c r="B83" s="2" t="s">
        <v>65</v>
      </c>
      <c r="C83" s="2" t="s">
        <v>66</v>
      </c>
      <c r="D83" s="2" t="s">
        <v>67</v>
      </c>
      <c r="E83" s="2" t="s">
        <v>68</v>
      </c>
      <c r="F83" s="2" t="s">
        <v>69</v>
      </c>
      <c r="G83" s="9">
        <v>41306</v>
      </c>
      <c r="H83" s="9">
        <v>41061</v>
      </c>
      <c r="I83" s="9">
        <v>42522</v>
      </c>
      <c r="J83" s="45">
        <v>4</v>
      </c>
      <c r="K83" s="9" t="s">
        <v>212</v>
      </c>
      <c r="L83" s="9" t="s">
        <v>70</v>
      </c>
      <c r="M83" s="2" t="s">
        <v>71</v>
      </c>
      <c r="N83" s="2" t="s">
        <v>567</v>
      </c>
      <c r="O83" s="2" t="s">
        <v>73</v>
      </c>
      <c r="P83" s="2" t="s">
        <v>568</v>
      </c>
      <c r="Q83" s="2" t="s">
        <v>75</v>
      </c>
      <c r="R83" s="2" t="s">
        <v>76</v>
      </c>
      <c r="S83" s="2" t="s">
        <v>77</v>
      </c>
      <c r="T83" s="2" t="s">
        <v>78</v>
      </c>
      <c r="U83" s="2" t="s">
        <v>79</v>
      </c>
      <c r="V83" s="2" t="s">
        <v>569</v>
      </c>
      <c r="W83" s="2" t="s">
        <v>81</v>
      </c>
      <c r="X83" s="2" t="s">
        <v>570</v>
      </c>
      <c r="Y83" s="2" t="s">
        <v>204</v>
      </c>
      <c r="Z83" s="2" t="s">
        <v>571</v>
      </c>
      <c r="AA83" s="2" t="s">
        <v>85</v>
      </c>
      <c r="AB83" s="26" t="s">
        <v>68</v>
      </c>
      <c r="AC83" s="26" t="s">
        <v>68</v>
      </c>
      <c r="AD83" s="26">
        <v>9932</v>
      </c>
      <c r="AE83" s="27">
        <v>13265444</v>
      </c>
    </row>
    <row r="84" spans="1:31" ht="165" x14ac:dyDescent="0.25">
      <c r="A84" s="53" t="s">
        <v>572</v>
      </c>
      <c r="B84" s="2" t="s">
        <v>65</v>
      </c>
      <c r="C84" s="2" t="s">
        <v>66</v>
      </c>
      <c r="D84" s="2" t="s">
        <v>137</v>
      </c>
      <c r="E84" s="2" t="s">
        <v>68</v>
      </c>
      <c r="F84" s="2" t="s">
        <v>69</v>
      </c>
      <c r="G84" s="9">
        <v>41061</v>
      </c>
      <c r="H84" s="9">
        <v>41240</v>
      </c>
      <c r="I84" s="9">
        <v>42156</v>
      </c>
      <c r="J84" s="45">
        <v>2.5111111111111111</v>
      </c>
      <c r="K84" s="9" t="s">
        <v>70</v>
      </c>
      <c r="L84" s="9" t="s">
        <v>70</v>
      </c>
      <c r="M84" s="2" t="s">
        <v>71</v>
      </c>
      <c r="N84" s="2" t="s">
        <v>573</v>
      </c>
      <c r="O84" s="2" t="s">
        <v>89</v>
      </c>
      <c r="P84" s="2" t="s">
        <v>574</v>
      </c>
      <c r="Q84" s="2" t="s">
        <v>75</v>
      </c>
      <c r="R84" s="2" t="s">
        <v>76</v>
      </c>
      <c r="S84" s="2" t="s">
        <v>77</v>
      </c>
      <c r="T84" s="2" t="s">
        <v>78</v>
      </c>
      <c r="U84" s="2" t="s">
        <v>79</v>
      </c>
      <c r="V84" s="2" t="s">
        <v>575</v>
      </c>
      <c r="W84" s="2" t="s">
        <v>81</v>
      </c>
      <c r="X84" s="2" t="s">
        <v>576</v>
      </c>
      <c r="Y84" s="2" t="s">
        <v>204</v>
      </c>
      <c r="Z84" s="2" t="s">
        <v>577</v>
      </c>
      <c r="AA84" s="2" t="s">
        <v>83</v>
      </c>
      <c r="AB84" s="26">
        <v>2</v>
      </c>
      <c r="AC84" s="26" t="s">
        <v>68</v>
      </c>
      <c r="AD84" s="26">
        <v>347</v>
      </c>
      <c r="AE84" s="31">
        <v>10202795</v>
      </c>
    </row>
    <row r="85" spans="1:31" ht="180" x14ac:dyDescent="0.25">
      <c r="A85" s="10" t="s">
        <v>578</v>
      </c>
      <c r="B85" s="2" t="s">
        <v>65</v>
      </c>
      <c r="C85" s="2" t="s">
        <v>68</v>
      </c>
      <c r="D85" s="2" t="s">
        <v>68</v>
      </c>
      <c r="E85" s="2" t="s">
        <v>68</v>
      </c>
      <c r="F85" s="2" t="s">
        <v>100</v>
      </c>
      <c r="G85" s="9">
        <v>41640</v>
      </c>
      <c r="H85" s="9">
        <v>41640</v>
      </c>
      <c r="I85" s="9">
        <v>43252</v>
      </c>
      <c r="J85" s="45">
        <v>4.416666666666667</v>
      </c>
      <c r="K85" s="9" t="s">
        <v>70</v>
      </c>
      <c r="L85" s="9" t="s">
        <v>70</v>
      </c>
      <c r="M85" s="2" t="s">
        <v>120</v>
      </c>
      <c r="N85" s="2" t="s">
        <v>172</v>
      </c>
      <c r="O85" s="2" t="s">
        <v>103</v>
      </c>
      <c r="P85" s="2" t="s">
        <v>579</v>
      </c>
      <c r="Q85" s="2" t="s">
        <v>75</v>
      </c>
      <c r="R85" s="2" t="s">
        <v>92</v>
      </c>
      <c r="S85" s="2" t="s">
        <v>68</v>
      </c>
      <c r="T85" s="2" t="s">
        <v>133</v>
      </c>
      <c r="U85" s="2" t="s">
        <v>85</v>
      </c>
      <c r="V85" s="2" t="s">
        <v>580</v>
      </c>
      <c r="W85" s="2" t="s">
        <v>106</v>
      </c>
      <c r="X85" s="2" t="s">
        <v>581</v>
      </c>
      <c r="Y85" s="2" t="s">
        <v>127</v>
      </c>
      <c r="Z85" s="2" t="s">
        <v>582</v>
      </c>
      <c r="AA85" s="2" t="s">
        <v>85</v>
      </c>
      <c r="AB85" s="26" t="s">
        <v>88</v>
      </c>
      <c r="AC85" s="26" t="s">
        <v>88</v>
      </c>
      <c r="AD85" s="30">
        <v>6478035</v>
      </c>
      <c r="AE85" s="32">
        <f>21197715</f>
        <v>21197715</v>
      </c>
    </row>
    <row r="86" spans="1:31" ht="122.25" customHeight="1" x14ac:dyDescent="0.25">
      <c r="A86" s="10" t="s">
        <v>583</v>
      </c>
      <c r="B86" s="2" t="s">
        <v>65</v>
      </c>
      <c r="C86" s="2" t="s">
        <v>68</v>
      </c>
      <c r="D86" s="2" t="s">
        <v>68</v>
      </c>
      <c r="E86" s="2" t="s">
        <v>68</v>
      </c>
      <c r="F86" s="2" t="s">
        <v>584</v>
      </c>
      <c r="G86" s="9">
        <v>43252</v>
      </c>
      <c r="H86" s="9">
        <v>43466</v>
      </c>
      <c r="I86" s="9">
        <v>46357</v>
      </c>
      <c r="J86" s="45">
        <v>7.916666666666667</v>
      </c>
      <c r="K86" s="9" t="s">
        <v>70</v>
      </c>
      <c r="L86" s="9" t="s">
        <v>70</v>
      </c>
      <c r="M86" s="2" t="s">
        <v>120</v>
      </c>
      <c r="N86" s="2" t="s">
        <v>585</v>
      </c>
      <c r="O86" s="2" t="s">
        <v>103</v>
      </c>
      <c r="P86" s="2" t="s">
        <v>579</v>
      </c>
      <c r="Q86" s="2" t="s">
        <v>75</v>
      </c>
      <c r="R86" s="2" t="s">
        <v>92</v>
      </c>
      <c r="S86" s="2" t="s">
        <v>68</v>
      </c>
      <c r="T86" s="2" t="s">
        <v>78</v>
      </c>
      <c r="U86" s="2" t="s">
        <v>393</v>
      </c>
      <c r="V86" s="2" t="s">
        <v>586</v>
      </c>
      <c r="W86" s="2" t="s">
        <v>147</v>
      </c>
      <c r="X86" s="2" t="s">
        <v>147</v>
      </c>
      <c r="Y86" s="2" t="s">
        <v>147</v>
      </c>
      <c r="Z86" s="2" t="s">
        <v>147</v>
      </c>
      <c r="AA86" s="2" t="s">
        <v>147</v>
      </c>
      <c r="AB86" s="26">
        <v>550</v>
      </c>
      <c r="AC86" s="26" t="s">
        <v>88</v>
      </c>
      <c r="AD86" s="28" t="s">
        <v>88</v>
      </c>
      <c r="AE86" s="47">
        <f>2956277</f>
        <v>2956277</v>
      </c>
    </row>
    <row r="87" spans="1:31" ht="150" x14ac:dyDescent="0.25">
      <c r="A87" s="10" t="s">
        <v>587</v>
      </c>
      <c r="B87" s="2" t="s">
        <v>65</v>
      </c>
      <c r="C87" s="2" t="s">
        <v>66</v>
      </c>
      <c r="D87" s="2" t="s">
        <v>137</v>
      </c>
      <c r="E87" s="2" t="s">
        <v>68</v>
      </c>
      <c r="F87" s="2" t="s">
        <v>69</v>
      </c>
      <c r="G87" s="9">
        <v>41061</v>
      </c>
      <c r="H87" s="9">
        <v>41244</v>
      </c>
      <c r="I87" s="9">
        <v>42522</v>
      </c>
      <c r="J87" s="45">
        <v>3.5</v>
      </c>
      <c r="K87" s="9" t="s">
        <v>212</v>
      </c>
      <c r="L87" s="9" t="s">
        <v>70</v>
      </c>
      <c r="M87" s="2" t="s">
        <v>71</v>
      </c>
      <c r="N87" s="2" t="s">
        <v>588</v>
      </c>
      <c r="O87" s="2" t="s">
        <v>89</v>
      </c>
      <c r="P87" s="2" t="s">
        <v>589</v>
      </c>
      <c r="Q87" s="2" t="s">
        <v>75</v>
      </c>
      <c r="R87" s="2" t="s">
        <v>76</v>
      </c>
      <c r="S87" s="2" t="s">
        <v>77</v>
      </c>
      <c r="T87" s="2" t="s">
        <v>78</v>
      </c>
      <c r="U87" s="2" t="s">
        <v>79</v>
      </c>
      <c r="V87" s="2" t="s">
        <v>590</v>
      </c>
      <c r="W87" s="2" t="s">
        <v>81</v>
      </c>
      <c r="X87" s="2" t="s">
        <v>591</v>
      </c>
      <c r="Y87" s="2" t="s">
        <v>85</v>
      </c>
      <c r="Z87" s="2" t="s">
        <v>592</v>
      </c>
      <c r="AA87" s="2" t="s">
        <v>85</v>
      </c>
      <c r="AB87" s="26">
        <v>1</v>
      </c>
      <c r="AC87" s="26" t="s">
        <v>68</v>
      </c>
      <c r="AD87" s="26">
        <v>143</v>
      </c>
      <c r="AE87" s="33">
        <v>1767667</v>
      </c>
    </row>
    <row r="88" spans="1:31" ht="105" x14ac:dyDescent="0.25">
      <c r="A88" s="10" t="s">
        <v>593</v>
      </c>
      <c r="B88" s="2" t="s">
        <v>65</v>
      </c>
      <c r="C88" s="2" t="s">
        <v>66</v>
      </c>
      <c r="D88" s="2" t="s">
        <v>385</v>
      </c>
      <c r="E88" s="2" t="s">
        <v>68</v>
      </c>
      <c r="F88" s="2" t="s">
        <v>69</v>
      </c>
      <c r="G88" s="9">
        <v>41061</v>
      </c>
      <c r="H88" s="9">
        <v>41061</v>
      </c>
      <c r="I88" s="9">
        <v>42185</v>
      </c>
      <c r="J88" s="45">
        <v>3.0805555555555557</v>
      </c>
      <c r="K88" s="9" t="s">
        <v>70</v>
      </c>
      <c r="L88" s="9" t="s">
        <v>70</v>
      </c>
      <c r="M88" s="2" t="s">
        <v>71</v>
      </c>
      <c r="N88" s="2" t="s">
        <v>594</v>
      </c>
      <c r="O88" s="2" t="s">
        <v>103</v>
      </c>
      <c r="P88" s="2" t="s">
        <v>595</v>
      </c>
      <c r="Q88" s="2" t="s">
        <v>91</v>
      </c>
      <c r="R88" s="2" t="s">
        <v>417</v>
      </c>
      <c r="S88" s="2" t="s">
        <v>68</v>
      </c>
      <c r="T88" s="2" t="s">
        <v>78</v>
      </c>
      <c r="U88" s="2" t="s">
        <v>79</v>
      </c>
      <c r="V88" s="2" t="s">
        <v>596</v>
      </c>
      <c r="W88" s="2" t="s">
        <v>81</v>
      </c>
      <c r="X88" s="2" t="s">
        <v>597</v>
      </c>
      <c r="Y88" s="2" t="s">
        <v>204</v>
      </c>
      <c r="Z88" s="2" t="s">
        <v>598</v>
      </c>
      <c r="AA88" s="2" t="s">
        <v>83</v>
      </c>
      <c r="AB88" s="26" t="s">
        <v>68</v>
      </c>
      <c r="AC88" s="26">
        <v>1</v>
      </c>
      <c r="AD88" s="30">
        <v>353663</v>
      </c>
      <c r="AE88" s="33">
        <v>9332545</v>
      </c>
    </row>
    <row r="89" spans="1:31" ht="60" x14ac:dyDescent="0.25">
      <c r="A89" s="10" t="s">
        <v>599</v>
      </c>
      <c r="B89" s="2" t="s">
        <v>199</v>
      </c>
      <c r="C89" s="2" t="s">
        <v>68</v>
      </c>
      <c r="D89" s="2" t="s">
        <v>68</v>
      </c>
      <c r="E89" s="2" t="s">
        <v>68</v>
      </c>
      <c r="F89" s="2" t="s">
        <v>69</v>
      </c>
      <c r="G89" s="9">
        <v>39814</v>
      </c>
      <c r="H89" s="9">
        <v>39904</v>
      </c>
      <c r="I89" s="9">
        <v>40483</v>
      </c>
      <c r="J89" s="45">
        <v>1.5833333333333333</v>
      </c>
      <c r="K89" s="9" t="s">
        <v>70</v>
      </c>
      <c r="L89" s="9" t="s">
        <v>70</v>
      </c>
      <c r="M89" s="2" t="s">
        <v>71</v>
      </c>
      <c r="N89" s="2" t="s">
        <v>600</v>
      </c>
      <c r="O89" s="2" t="s">
        <v>103</v>
      </c>
      <c r="P89" s="2" t="s">
        <v>601</v>
      </c>
      <c r="Q89" s="2" t="s">
        <v>91</v>
      </c>
      <c r="R89" s="2" t="s">
        <v>92</v>
      </c>
      <c r="S89" s="2" t="s">
        <v>68</v>
      </c>
      <c r="T89" s="2" t="s">
        <v>78</v>
      </c>
      <c r="U89" s="2" t="s">
        <v>257</v>
      </c>
      <c r="V89" s="2" t="s">
        <v>602</v>
      </c>
      <c r="W89" s="2" t="s">
        <v>106</v>
      </c>
      <c r="X89" s="2" t="s">
        <v>603</v>
      </c>
      <c r="Y89" s="2" t="s">
        <v>85</v>
      </c>
      <c r="Z89" s="2" t="s">
        <v>604</v>
      </c>
      <c r="AA89" s="2" t="s">
        <v>178</v>
      </c>
      <c r="AB89" s="28">
        <v>5</v>
      </c>
      <c r="AC89" s="26" t="s">
        <v>88</v>
      </c>
      <c r="AD89" s="28" t="s">
        <v>88</v>
      </c>
      <c r="AE89" s="34" t="s">
        <v>88</v>
      </c>
    </row>
    <row r="90" spans="1:31" ht="120" x14ac:dyDescent="0.25">
      <c r="A90" s="10" t="s">
        <v>605</v>
      </c>
      <c r="B90" s="2" t="s">
        <v>65</v>
      </c>
      <c r="C90" s="2" t="s">
        <v>68</v>
      </c>
      <c r="D90" s="2" t="s">
        <v>68</v>
      </c>
      <c r="E90" s="2" t="s">
        <v>68</v>
      </c>
      <c r="F90" s="2" t="s">
        <v>100</v>
      </c>
      <c r="G90" s="9">
        <v>43800</v>
      </c>
      <c r="H90" s="9">
        <v>44197</v>
      </c>
      <c r="I90" s="9">
        <v>45627</v>
      </c>
      <c r="J90" s="45">
        <v>3.9166666666666665</v>
      </c>
      <c r="K90" s="9" t="s">
        <v>70</v>
      </c>
      <c r="L90" s="9" t="s">
        <v>70</v>
      </c>
      <c r="M90" s="2" t="s">
        <v>71</v>
      </c>
      <c r="N90" s="2" t="s">
        <v>606</v>
      </c>
      <c r="O90" s="2" t="s">
        <v>103</v>
      </c>
      <c r="P90" s="2" t="s">
        <v>607</v>
      </c>
      <c r="Q90" s="2" t="s">
        <v>608</v>
      </c>
      <c r="R90" s="2" t="s">
        <v>314</v>
      </c>
      <c r="S90" s="2" t="s">
        <v>68</v>
      </c>
      <c r="T90" s="2" t="s">
        <v>78</v>
      </c>
      <c r="U90" s="2" t="s">
        <v>79</v>
      </c>
      <c r="V90" s="2" t="s">
        <v>609</v>
      </c>
      <c r="W90" s="2" t="s">
        <v>81</v>
      </c>
      <c r="X90" s="2" t="s">
        <v>610</v>
      </c>
      <c r="Y90" s="2" t="s">
        <v>83</v>
      </c>
      <c r="Z90" s="2" t="s">
        <v>611</v>
      </c>
      <c r="AA90" s="2" t="s">
        <v>83</v>
      </c>
      <c r="AB90" s="26">
        <v>19</v>
      </c>
      <c r="AC90" s="26" t="s">
        <v>88</v>
      </c>
      <c r="AD90" s="30">
        <v>1200000</v>
      </c>
      <c r="AE90" s="38">
        <v>10751693</v>
      </c>
    </row>
    <row r="91" spans="1:31" ht="105" x14ac:dyDescent="0.25">
      <c r="A91" s="10" t="s">
        <v>612</v>
      </c>
      <c r="B91" s="2" t="s">
        <v>65</v>
      </c>
      <c r="C91" s="2" t="s">
        <v>66</v>
      </c>
      <c r="D91" s="2" t="s">
        <v>162</v>
      </c>
      <c r="E91" s="2" t="s">
        <v>68</v>
      </c>
      <c r="F91" s="2" t="s">
        <v>69</v>
      </c>
      <c r="G91" s="9">
        <v>41061</v>
      </c>
      <c r="H91" s="9">
        <v>41487</v>
      </c>
      <c r="I91" s="9">
        <v>42339</v>
      </c>
      <c r="J91" s="45">
        <v>2.3333333333333335</v>
      </c>
      <c r="K91" s="9" t="s">
        <v>101</v>
      </c>
      <c r="L91" s="9" t="s">
        <v>70</v>
      </c>
      <c r="M91" s="2" t="s">
        <v>71</v>
      </c>
      <c r="N91" s="2" t="s">
        <v>295</v>
      </c>
      <c r="O91" s="2" t="s">
        <v>89</v>
      </c>
      <c r="P91" s="2" t="s">
        <v>214</v>
      </c>
      <c r="Q91" s="2" t="s">
        <v>75</v>
      </c>
      <c r="R91" s="2" t="s">
        <v>92</v>
      </c>
      <c r="S91" s="2" t="s">
        <v>68</v>
      </c>
      <c r="T91" s="2" t="s">
        <v>78</v>
      </c>
      <c r="U91" s="2" t="s">
        <v>79</v>
      </c>
      <c r="V91" s="2" t="s">
        <v>613</v>
      </c>
      <c r="W91" s="2" t="s">
        <v>81</v>
      </c>
      <c r="X91" s="2" t="s">
        <v>614</v>
      </c>
      <c r="Y91" s="2" t="s">
        <v>83</v>
      </c>
      <c r="Z91" s="2" t="s">
        <v>615</v>
      </c>
      <c r="AA91" s="2" t="s">
        <v>83</v>
      </c>
      <c r="AB91" s="26">
        <v>14</v>
      </c>
      <c r="AC91" s="26" t="s">
        <v>68</v>
      </c>
      <c r="AD91" s="26">
        <v>3276</v>
      </c>
      <c r="AE91" s="33">
        <v>24000000</v>
      </c>
    </row>
    <row r="92" spans="1:31" ht="225" x14ac:dyDescent="0.25">
      <c r="A92" s="10" t="s">
        <v>616</v>
      </c>
      <c r="B92" s="2" t="s">
        <v>65</v>
      </c>
      <c r="C92" s="2" t="s">
        <v>68</v>
      </c>
      <c r="D92" s="2" t="s">
        <v>68</v>
      </c>
      <c r="E92" s="2" t="s">
        <v>68</v>
      </c>
      <c r="F92" s="2" t="s">
        <v>100</v>
      </c>
      <c r="G92" s="9">
        <v>42186</v>
      </c>
      <c r="H92" s="9">
        <v>42370</v>
      </c>
      <c r="I92" s="9">
        <v>44531</v>
      </c>
      <c r="J92" s="45">
        <v>5.916666666666667</v>
      </c>
      <c r="K92" s="9" t="s">
        <v>70</v>
      </c>
      <c r="L92" s="9" t="s">
        <v>70</v>
      </c>
      <c r="M92" s="2" t="s">
        <v>71</v>
      </c>
      <c r="N92" s="2" t="s">
        <v>617</v>
      </c>
      <c r="O92" s="2" t="s">
        <v>89</v>
      </c>
      <c r="P92" s="2" t="s">
        <v>618</v>
      </c>
      <c r="Q92" s="2" t="s">
        <v>91</v>
      </c>
      <c r="R92" s="2" t="s">
        <v>92</v>
      </c>
      <c r="S92" s="2" t="s">
        <v>68</v>
      </c>
      <c r="T92" s="2" t="s">
        <v>78</v>
      </c>
      <c r="U92" s="2" t="s">
        <v>79</v>
      </c>
      <c r="V92" s="2" t="s">
        <v>619</v>
      </c>
      <c r="W92" s="2" t="s">
        <v>81</v>
      </c>
      <c r="X92" s="2" t="s">
        <v>620</v>
      </c>
      <c r="Y92" s="2" t="s">
        <v>127</v>
      </c>
      <c r="Z92" s="2" t="s">
        <v>621</v>
      </c>
      <c r="AA92" s="2" t="s">
        <v>178</v>
      </c>
      <c r="AB92" s="26">
        <v>85</v>
      </c>
      <c r="AC92" s="26" t="s">
        <v>68</v>
      </c>
      <c r="AD92" s="30">
        <v>4988</v>
      </c>
      <c r="AE92" s="38">
        <v>19476032</v>
      </c>
    </row>
    <row r="93" spans="1:31" ht="90.75" customHeight="1" x14ac:dyDescent="0.25">
      <c r="A93" s="10" t="s">
        <v>622</v>
      </c>
      <c r="B93" s="2" t="s">
        <v>294</v>
      </c>
      <c r="C93" s="2" t="s">
        <v>68</v>
      </c>
      <c r="D93" s="2" t="s">
        <v>68</v>
      </c>
      <c r="E93" s="2" t="s">
        <v>68</v>
      </c>
      <c r="F93" s="2" t="s">
        <v>69</v>
      </c>
      <c r="G93" s="9">
        <v>36708</v>
      </c>
      <c r="H93" s="9">
        <v>37347</v>
      </c>
      <c r="I93" s="9">
        <v>42004</v>
      </c>
      <c r="J93" s="45">
        <v>12.75</v>
      </c>
      <c r="K93" s="11" t="s">
        <v>101</v>
      </c>
      <c r="L93" s="9" t="s">
        <v>70</v>
      </c>
      <c r="M93" s="2" t="s">
        <v>71</v>
      </c>
      <c r="N93" s="2" t="s">
        <v>623</v>
      </c>
      <c r="O93" s="2" t="s">
        <v>103</v>
      </c>
      <c r="P93" s="2" t="s">
        <v>624</v>
      </c>
      <c r="Q93" s="2" t="s">
        <v>256</v>
      </c>
      <c r="R93" s="2" t="s">
        <v>92</v>
      </c>
      <c r="S93" s="2" t="s">
        <v>68</v>
      </c>
      <c r="T93" s="2" t="s">
        <v>78</v>
      </c>
      <c r="U93" s="2" t="s">
        <v>79</v>
      </c>
      <c r="V93" s="2" t="s">
        <v>625</v>
      </c>
      <c r="W93" s="2" t="s">
        <v>106</v>
      </c>
      <c r="X93" s="2" t="s">
        <v>626</v>
      </c>
      <c r="Y93" s="2" t="s">
        <v>85</v>
      </c>
      <c r="Z93" s="2" t="s">
        <v>627</v>
      </c>
      <c r="AA93" s="2" t="s">
        <v>85</v>
      </c>
      <c r="AB93" s="26">
        <v>15</v>
      </c>
      <c r="AC93" s="26" t="s">
        <v>88</v>
      </c>
      <c r="AD93" s="30">
        <f>164+438</f>
        <v>602</v>
      </c>
      <c r="AE93" s="34" t="s">
        <v>88</v>
      </c>
    </row>
    <row r="94" spans="1:31" ht="180" x14ac:dyDescent="0.25">
      <c r="A94" s="10" t="s">
        <v>628</v>
      </c>
      <c r="B94" s="2" t="s">
        <v>253</v>
      </c>
      <c r="C94" s="2" t="s">
        <v>68</v>
      </c>
      <c r="D94" s="2" t="s">
        <v>68</v>
      </c>
      <c r="E94" s="2" t="s">
        <v>68</v>
      </c>
      <c r="F94" s="2" t="s">
        <v>100</v>
      </c>
      <c r="G94" s="9">
        <v>43041</v>
      </c>
      <c r="H94" s="9">
        <v>43191</v>
      </c>
      <c r="I94" s="9" t="s">
        <v>147</v>
      </c>
      <c r="J94" s="45" t="s">
        <v>88</v>
      </c>
      <c r="K94" s="19" t="s">
        <v>70</v>
      </c>
      <c r="L94" s="9" t="s">
        <v>70</v>
      </c>
      <c r="M94" s="2" t="s">
        <v>71</v>
      </c>
      <c r="N94" s="2" t="s">
        <v>629</v>
      </c>
      <c r="O94" s="2" t="s">
        <v>103</v>
      </c>
      <c r="P94" s="2" t="s">
        <v>201</v>
      </c>
      <c r="Q94" s="2" t="s">
        <v>132</v>
      </c>
      <c r="R94" s="2" t="s">
        <v>76</v>
      </c>
      <c r="S94" s="2" t="s">
        <v>68</v>
      </c>
      <c r="T94" s="2" t="s">
        <v>78</v>
      </c>
      <c r="U94" s="2" t="s">
        <v>257</v>
      </c>
      <c r="V94" s="2" t="s">
        <v>630</v>
      </c>
      <c r="W94" s="2" t="s">
        <v>147</v>
      </c>
      <c r="X94" s="2" t="s">
        <v>147</v>
      </c>
      <c r="Y94" s="2" t="s">
        <v>147</v>
      </c>
      <c r="Z94" s="2" t="s">
        <v>147</v>
      </c>
      <c r="AA94" s="2" t="s">
        <v>147</v>
      </c>
      <c r="AB94" s="26">
        <v>947</v>
      </c>
      <c r="AC94" s="26" t="s">
        <v>88</v>
      </c>
      <c r="AD94" s="28" t="s">
        <v>88</v>
      </c>
      <c r="AE94" s="34" t="s">
        <v>88</v>
      </c>
    </row>
    <row r="95" spans="1:31" ht="90" x14ac:dyDescent="0.25">
      <c r="A95" s="10" t="s">
        <v>631</v>
      </c>
      <c r="B95" s="2" t="s">
        <v>119</v>
      </c>
      <c r="C95" s="2" t="s">
        <v>68</v>
      </c>
      <c r="D95" s="2" t="s">
        <v>68</v>
      </c>
      <c r="E95" s="2" t="s">
        <v>68</v>
      </c>
      <c r="F95" s="2" t="s">
        <v>100</v>
      </c>
      <c r="G95" s="9">
        <v>38718</v>
      </c>
      <c r="H95" s="9">
        <v>39995</v>
      </c>
      <c r="I95" s="9">
        <v>42522</v>
      </c>
      <c r="J95" s="45">
        <v>6.916666666666667</v>
      </c>
      <c r="K95" s="9" t="s">
        <v>70</v>
      </c>
      <c r="L95" s="9" t="s">
        <v>70</v>
      </c>
      <c r="M95" s="2" t="s">
        <v>71</v>
      </c>
      <c r="N95" s="2" t="s">
        <v>632</v>
      </c>
      <c r="O95" s="2" t="s">
        <v>103</v>
      </c>
      <c r="P95" s="2" t="s">
        <v>132</v>
      </c>
      <c r="Q95" s="2" t="s">
        <v>132</v>
      </c>
      <c r="R95" s="2" t="s">
        <v>165</v>
      </c>
      <c r="S95" s="2" t="s">
        <v>68</v>
      </c>
      <c r="T95" s="2" t="s">
        <v>78</v>
      </c>
      <c r="U95" s="2" t="s">
        <v>79</v>
      </c>
      <c r="V95" s="2" t="s">
        <v>633</v>
      </c>
      <c r="W95" s="2" t="s">
        <v>106</v>
      </c>
      <c r="X95" s="2" t="s">
        <v>135</v>
      </c>
      <c r="Y95" s="2" t="s">
        <v>83</v>
      </c>
      <c r="Z95" s="2" t="s">
        <v>528</v>
      </c>
      <c r="AA95" s="2" t="s">
        <v>85</v>
      </c>
      <c r="AB95" s="26">
        <v>4</v>
      </c>
      <c r="AC95" s="26">
        <f>20+791+1164</f>
        <v>1975</v>
      </c>
      <c r="AD95" s="39">
        <f>3095+40+49482+103854+121215+348210</f>
        <v>625896</v>
      </c>
      <c r="AE95" s="34" t="s">
        <v>88</v>
      </c>
    </row>
    <row r="96" spans="1:31" ht="75.75" customHeight="1" x14ac:dyDescent="0.25">
      <c r="A96" s="10" t="s">
        <v>634</v>
      </c>
      <c r="B96" s="2" t="s">
        <v>199</v>
      </c>
      <c r="C96" s="2" t="s">
        <v>68</v>
      </c>
      <c r="D96" s="2" t="s">
        <v>68</v>
      </c>
      <c r="E96" s="2" t="s">
        <v>68</v>
      </c>
      <c r="F96" s="2" t="s">
        <v>69</v>
      </c>
      <c r="G96" s="9">
        <v>38749</v>
      </c>
      <c r="H96" s="9">
        <v>39722</v>
      </c>
      <c r="I96" s="9">
        <v>40787</v>
      </c>
      <c r="J96" s="45">
        <v>2.9166666666666665</v>
      </c>
      <c r="K96" s="9" t="s">
        <v>70</v>
      </c>
      <c r="L96" s="9" t="s">
        <v>70</v>
      </c>
      <c r="M96" s="2" t="s">
        <v>71</v>
      </c>
      <c r="N96" s="2" t="s">
        <v>635</v>
      </c>
      <c r="O96" s="2" t="s">
        <v>103</v>
      </c>
      <c r="P96" s="2" t="s">
        <v>636</v>
      </c>
      <c r="Q96" s="2" t="s">
        <v>91</v>
      </c>
      <c r="R96" s="2" t="s">
        <v>92</v>
      </c>
      <c r="S96" s="2" t="s">
        <v>68</v>
      </c>
      <c r="T96" s="2" t="s">
        <v>78</v>
      </c>
      <c r="U96" s="2" t="s">
        <v>257</v>
      </c>
      <c r="V96" s="2" t="s">
        <v>637</v>
      </c>
      <c r="W96" s="2" t="s">
        <v>106</v>
      </c>
      <c r="X96" s="2" t="s">
        <v>638</v>
      </c>
      <c r="Y96" s="2" t="s">
        <v>127</v>
      </c>
      <c r="Z96" s="2" t="s">
        <v>135</v>
      </c>
      <c r="AA96" s="2" t="s">
        <v>83</v>
      </c>
      <c r="AB96" s="28">
        <v>2</v>
      </c>
      <c r="AC96" s="26">
        <f>271</f>
        <v>271</v>
      </c>
      <c r="AD96" s="28" t="s">
        <v>88</v>
      </c>
      <c r="AE96" s="34" t="s">
        <v>88</v>
      </c>
    </row>
    <row r="97" spans="1:31" ht="210" customHeight="1" x14ac:dyDescent="0.25">
      <c r="A97" s="10" t="s">
        <v>639</v>
      </c>
      <c r="B97" s="2" t="s">
        <v>253</v>
      </c>
      <c r="C97" s="2" t="s">
        <v>68</v>
      </c>
      <c r="D97" s="2" t="s">
        <v>68</v>
      </c>
      <c r="E97" s="2" t="s">
        <v>68</v>
      </c>
      <c r="F97" s="2" t="s">
        <v>69</v>
      </c>
      <c r="G97" s="9">
        <v>40817</v>
      </c>
      <c r="H97" s="9">
        <v>40817</v>
      </c>
      <c r="I97" s="9">
        <v>43008</v>
      </c>
      <c r="J97" s="45">
        <v>5.9972222222222218</v>
      </c>
      <c r="K97" s="9" t="s">
        <v>70</v>
      </c>
      <c r="L97" s="9" t="s">
        <v>70</v>
      </c>
      <c r="M97" s="2" t="s">
        <v>71</v>
      </c>
      <c r="N97" s="2" t="s">
        <v>640</v>
      </c>
      <c r="O97" s="2" t="s">
        <v>103</v>
      </c>
      <c r="P97" s="2" t="s">
        <v>641</v>
      </c>
      <c r="Q97" s="2" t="s">
        <v>91</v>
      </c>
      <c r="R97" s="2" t="s">
        <v>76</v>
      </c>
      <c r="S97" s="2" t="s">
        <v>68</v>
      </c>
      <c r="T97" s="2" t="s">
        <v>78</v>
      </c>
      <c r="U97" s="2" t="s">
        <v>393</v>
      </c>
      <c r="V97" s="2" t="s">
        <v>642</v>
      </c>
      <c r="W97" s="2" t="s">
        <v>477</v>
      </c>
      <c r="X97" s="2" t="s">
        <v>643</v>
      </c>
      <c r="Y97" s="2" t="s">
        <v>83</v>
      </c>
      <c r="Z97" s="2" t="s">
        <v>644</v>
      </c>
      <c r="AA97" s="2" t="s">
        <v>83</v>
      </c>
      <c r="AB97" s="26">
        <f>59+36+84+125+59</f>
        <v>363</v>
      </c>
      <c r="AC97" s="26">
        <v>5128</v>
      </c>
      <c r="AD97" s="28" t="s">
        <v>88</v>
      </c>
      <c r="AE97" s="34" t="s">
        <v>88</v>
      </c>
    </row>
    <row r="98" spans="1:31" ht="135" x14ac:dyDescent="0.25">
      <c r="A98" s="10" t="s">
        <v>645</v>
      </c>
      <c r="B98" s="2" t="s">
        <v>65</v>
      </c>
      <c r="C98" s="2" t="s">
        <v>68</v>
      </c>
      <c r="D98" s="2" t="s">
        <v>68</v>
      </c>
      <c r="E98" s="2" t="s">
        <v>68</v>
      </c>
      <c r="F98" s="2" t="s">
        <v>100</v>
      </c>
      <c r="G98" s="9">
        <v>41244</v>
      </c>
      <c r="H98" s="9">
        <v>41913</v>
      </c>
      <c r="I98" s="9">
        <v>45261</v>
      </c>
      <c r="J98" s="45">
        <v>9.1666666666666661</v>
      </c>
      <c r="K98" s="9" t="s">
        <v>101</v>
      </c>
      <c r="L98" s="9" t="s">
        <v>70</v>
      </c>
      <c r="M98" s="2" t="s">
        <v>71</v>
      </c>
      <c r="N98" s="2" t="s">
        <v>646</v>
      </c>
      <c r="O98" s="2" t="s">
        <v>88</v>
      </c>
      <c r="P98" s="2" t="s">
        <v>88</v>
      </c>
      <c r="Q98" s="2" t="s">
        <v>88</v>
      </c>
      <c r="R98" s="2" t="s">
        <v>92</v>
      </c>
      <c r="S98" s="2" t="s">
        <v>68</v>
      </c>
      <c r="T98" s="2" t="s">
        <v>78</v>
      </c>
      <c r="U98" s="2" t="s">
        <v>79</v>
      </c>
      <c r="V98" s="2" t="s">
        <v>647</v>
      </c>
      <c r="W98" s="2" t="s">
        <v>477</v>
      </c>
      <c r="X98" s="2" t="s">
        <v>648</v>
      </c>
      <c r="Y98" s="2" t="s">
        <v>83</v>
      </c>
      <c r="Z98" s="2" t="s">
        <v>649</v>
      </c>
      <c r="AA98" s="2" t="s">
        <v>83</v>
      </c>
      <c r="AB98" s="26" t="s">
        <v>68</v>
      </c>
      <c r="AC98" s="26" t="s">
        <v>68</v>
      </c>
      <c r="AD98" s="26">
        <v>872</v>
      </c>
      <c r="AE98" s="26" t="s">
        <v>68</v>
      </c>
    </row>
    <row r="99" spans="1:31" ht="120" x14ac:dyDescent="0.25">
      <c r="A99" s="10" t="s">
        <v>650</v>
      </c>
      <c r="B99" s="2" t="s">
        <v>65</v>
      </c>
      <c r="C99" s="2" t="s">
        <v>66</v>
      </c>
      <c r="D99" s="2" t="s">
        <v>67</v>
      </c>
      <c r="E99" s="2" t="s">
        <v>68</v>
      </c>
      <c r="F99" s="2" t="s">
        <v>69</v>
      </c>
      <c r="G99" s="15">
        <v>41061</v>
      </c>
      <c r="H99" s="15">
        <v>41275</v>
      </c>
      <c r="I99" s="15">
        <v>42522</v>
      </c>
      <c r="J99" s="45">
        <v>3.4166666666666665</v>
      </c>
      <c r="K99" s="9" t="s">
        <v>212</v>
      </c>
      <c r="L99" s="9" t="s">
        <v>70</v>
      </c>
      <c r="M99" s="2" t="s">
        <v>71</v>
      </c>
      <c r="N99" s="2" t="s">
        <v>651</v>
      </c>
      <c r="O99" s="2" t="s">
        <v>88</v>
      </c>
      <c r="P99" s="2" t="s">
        <v>273</v>
      </c>
      <c r="Q99" s="2" t="s">
        <v>75</v>
      </c>
      <c r="R99" s="2" t="s">
        <v>477</v>
      </c>
      <c r="S99" s="2" t="s">
        <v>77</v>
      </c>
      <c r="T99" s="2" t="s">
        <v>78</v>
      </c>
      <c r="U99" s="2" t="s">
        <v>79</v>
      </c>
      <c r="V99" s="2" t="s">
        <v>652</v>
      </c>
      <c r="W99" s="2" t="s">
        <v>81</v>
      </c>
      <c r="X99" s="2" t="s">
        <v>653</v>
      </c>
      <c r="Y99" s="2" t="s">
        <v>204</v>
      </c>
      <c r="Z99" s="2" t="s">
        <v>654</v>
      </c>
      <c r="AA99" s="2" t="s">
        <v>83</v>
      </c>
      <c r="AB99" s="26" t="s">
        <v>68</v>
      </c>
      <c r="AC99" s="26" t="s">
        <v>68</v>
      </c>
      <c r="AD99" s="28" t="s">
        <v>88</v>
      </c>
      <c r="AE99" s="29">
        <v>14145784</v>
      </c>
    </row>
    <row r="100" spans="1:31" ht="90" x14ac:dyDescent="0.25">
      <c r="A100" s="10" t="s">
        <v>655</v>
      </c>
      <c r="B100" s="2" t="s">
        <v>65</v>
      </c>
      <c r="C100" s="2" t="s">
        <v>98</v>
      </c>
      <c r="D100" s="2" t="s">
        <v>68</v>
      </c>
      <c r="E100" s="2" t="s">
        <v>99</v>
      </c>
      <c r="F100" s="2" t="s">
        <v>100</v>
      </c>
      <c r="G100" s="9">
        <v>41395</v>
      </c>
      <c r="H100" s="9">
        <v>41883</v>
      </c>
      <c r="I100" s="9">
        <v>42979</v>
      </c>
      <c r="J100" s="45">
        <v>3</v>
      </c>
      <c r="K100" s="9" t="s">
        <v>70</v>
      </c>
      <c r="L100" s="9" t="s">
        <v>70</v>
      </c>
      <c r="M100" s="2" t="s">
        <v>71</v>
      </c>
      <c r="N100" s="2" t="s">
        <v>656</v>
      </c>
      <c r="O100" s="2" t="s">
        <v>103</v>
      </c>
      <c r="P100" s="2" t="s">
        <v>273</v>
      </c>
      <c r="Q100" s="2" t="s">
        <v>75</v>
      </c>
      <c r="R100" s="2" t="s">
        <v>165</v>
      </c>
      <c r="S100" s="2" t="s">
        <v>68</v>
      </c>
      <c r="T100" s="2" t="s">
        <v>70</v>
      </c>
      <c r="U100" s="2" t="s">
        <v>79</v>
      </c>
      <c r="V100" s="2" t="s">
        <v>657</v>
      </c>
      <c r="W100" s="2" t="s">
        <v>106</v>
      </c>
      <c r="X100" s="2" t="s">
        <v>658</v>
      </c>
      <c r="Y100" s="2" t="s">
        <v>83</v>
      </c>
      <c r="Z100" s="2" t="s">
        <v>659</v>
      </c>
      <c r="AA100" s="2" t="s">
        <v>83</v>
      </c>
      <c r="AB100" s="26">
        <v>39</v>
      </c>
      <c r="AC100" s="26" t="s">
        <v>68</v>
      </c>
      <c r="AD100" s="30">
        <v>3051</v>
      </c>
      <c r="AE100" s="31">
        <v>6389850</v>
      </c>
    </row>
    <row r="101" spans="1:31" ht="90" x14ac:dyDescent="0.25">
      <c r="A101" s="10" t="s">
        <v>660</v>
      </c>
      <c r="B101" s="2" t="s">
        <v>253</v>
      </c>
      <c r="C101" s="2" t="s">
        <v>68</v>
      </c>
      <c r="D101" s="2" t="s">
        <v>68</v>
      </c>
      <c r="E101" s="2" t="s">
        <v>68</v>
      </c>
      <c r="F101" s="2" t="s">
        <v>100</v>
      </c>
      <c r="G101" s="9">
        <v>40787</v>
      </c>
      <c r="H101" s="9">
        <v>40909</v>
      </c>
      <c r="I101" s="9">
        <v>42736</v>
      </c>
      <c r="J101" s="45">
        <v>5</v>
      </c>
      <c r="K101" s="2" t="s">
        <v>101</v>
      </c>
      <c r="L101" s="9" t="s">
        <v>70</v>
      </c>
      <c r="M101" s="2" t="s">
        <v>88</v>
      </c>
      <c r="N101" s="2" t="s">
        <v>661</v>
      </c>
      <c r="O101" s="2" t="s">
        <v>103</v>
      </c>
      <c r="P101" s="2" t="s">
        <v>201</v>
      </c>
      <c r="Q101" s="2" t="s">
        <v>132</v>
      </c>
      <c r="R101" s="2" t="s">
        <v>124</v>
      </c>
      <c r="S101" s="2" t="s">
        <v>68</v>
      </c>
      <c r="T101" s="2" t="s">
        <v>78</v>
      </c>
      <c r="U101" s="2" t="s">
        <v>79</v>
      </c>
      <c r="V101" s="2" t="s">
        <v>662</v>
      </c>
      <c r="W101" s="2" t="s">
        <v>147</v>
      </c>
      <c r="X101" s="2" t="s">
        <v>147</v>
      </c>
      <c r="Y101" s="2" t="s">
        <v>147</v>
      </c>
      <c r="Z101" s="2" t="s">
        <v>147</v>
      </c>
      <c r="AA101" s="2" t="s">
        <v>147</v>
      </c>
      <c r="AB101" s="26" t="s">
        <v>88</v>
      </c>
      <c r="AC101" s="26" t="s">
        <v>88</v>
      </c>
      <c r="AD101" s="28" t="s">
        <v>88</v>
      </c>
      <c r="AE101" s="26" t="s">
        <v>68</v>
      </c>
    </row>
    <row r="102" spans="1:31" ht="156" customHeight="1" x14ac:dyDescent="0.25">
      <c r="A102" s="10" t="s">
        <v>663</v>
      </c>
      <c r="B102" s="2" t="s">
        <v>253</v>
      </c>
      <c r="C102" s="2" t="s">
        <v>68</v>
      </c>
      <c r="D102" s="2" t="s">
        <v>68</v>
      </c>
      <c r="E102" s="2" t="s">
        <v>68</v>
      </c>
      <c r="F102" s="2" t="s">
        <v>100</v>
      </c>
      <c r="G102" s="9">
        <v>42125</v>
      </c>
      <c r="H102" s="9">
        <v>42738</v>
      </c>
      <c r="I102" s="9">
        <v>44561</v>
      </c>
      <c r="J102" s="45">
        <v>4.9944444444444445</v>
      </c>
      <c r="K102" s="9" t="s">
        <v>70</v>
      </c>
      <c r="L102" s="9" t="s">
        <v>70</v>
      </c>
      <c r="M102" s="2" t="s">
        <v>71</v>
      </c>
      <c r="N102" s="2" t="s">
        <v>664</v>
      </c>
      <c r="O102" s="2" t="s">
        <v>103</v>
      </c>
      <c r="P102" s="2" t="s">
        <v>665</v>
      </c>
      <c r="Q102" s="2" t="s">
        <v>608</v>
      </c>
      <c r="R102" s="2" t="s">
        <v>124</v>
      </c>
      <c r="S102" s="2" t="s">
        <v>68</v>
      </c>
      <c r="T102" s="2" t="s">
        <v>78</v>
      </c>
      <c r="U102" s="2" t="s">
        <v>79</v>
      </c>
      <c r="V102" s="2" t="s">
        <v>666</v>
      </c>
      <c r="W102" s="2" t="s">
        <v>81</v>
      </c>
      <c r="X102" s="2" t="s">
        <v>667</v>
      </c>
      <c r="Y102" s="2" t="s">
        <v>83</v>
      </c>
      <c r="Z102" s="2" t="s">
        <v>668</v>
      </c>
      <c r="AA102" s="2" t="s">
        <v>83</v>
      </c>
      <c r="AB102" s="26">
        <v>345</v>
      </c>
      <c r="AC102" s="26" t="s">
        <v>88</v>
      </c>
      <c r="AD102" s="28">
        <v>388000</v>
      </c>
      <c r="AE102" s="47">
        <f>2420920+29559143</f>
        <v>31980063</v>
      </c>
    </row>
    <row r="103" spans="1:31" ht="105" x14ac:dyDescent="0.25">
      <c r="A103" s="10" t="s">
        <v>669</v>
      </c>
      <c r="B103" s="2" t="s">
        <v>65</v>
      </c>
      <c r="C103" s="2" t="s">
        <v>66</v>
      </c>
      <c r="D103" s="2" t="s">
        <v>324</v>
      </c>
      <c r="E103" s="2" t="s">
        <v>68</v>
      </c>
      <c r="F103" s="2" t="s">
        <v>69</v>
      </c>
      <c r="G103" s="9">
        <v>41061</v>
      </c>
      <c r="H103" s="9">
        <v>41061</v>
      </c>
      <c r="I103" s="9">
        <v>42369</v>
      </c>
      <c r="J103" s="45">
        <v>3.5833333333333335</v>
      </c>
      <c r="K103" s="9" t="s">
        <v>101</v>
      </c>
      <c r="L103" s="9" t="s">
        <v>70</v>
      </c>
      <c r="M103" s="2" t="s">
        <v>71</v>
      </c>
      <c r="N103" s="2" t="s">
        <v>194</v>
      </c>
      <c r="O103" s="2" t="s">
        <v>89</v>
      </c>
      <c r="P103" s="2" t="s">
        <v>273</v>
      </c>
      <c r="Q103" s="2" t="s">
        <v>75</v>
      </c>
      <c r="R103" s="2" t="s">
        <v>182</v>
      </c>
      <c r="S103" s="2" t="s">
        <v>68</v>
      </c>
      <c r="T103" s="2" t="s">
        <v>78</v>
      </c>
      <c r="U103" s="2" t="s">
        <v>79</v>
      </c>
      <c r="V103" s="2" t="s">
        <v>670</v>
      </c>
      <c r="W103" s="2" t="s">
        <v>81</v>
      </c>
      <c r="X103" s="2" t="s">
        <v>671</v>
      </c>
      <c r="Y103" s="2" t="s">
        <v>83</v>
      </c>
      <c r="Z103" s="2" t="s">
        <v>672</v>
      </c>
      <c r="AA103" s="2" t="s">
        <v>83</v>
      </c>
      <c r="AB103" s="26">
        <v>1</v>
      </c>
      <c r="AC103" s="26" t="s">
        <v>68</v>
      </c>
      <c r="AD103" s="28" t="s">
        <v>88</v>
      </c>
      <c r="AE103" s="29">
        <v>3773539</v>
      </c>
    </row>
    <row r="104" spans="1:31" ht="180" x14ac:dyDescent="0.25">
      <c r="A104" s="10" t="s">
        <v>673</v>
      </c>
      <c r="B104" s="2" t="s">
        <v>65</v>
      </c>
      <c r="C104" s="2" t="s">
        <v>68</v>
      </c>
      <c r="D104" s="2" t="s">
        <v>68</v>
      </c>
      <c r="E104" s="2" t="s">
        <v>68</v>
      </c>
      <c r="F104" s="2" t="s">
        <v>236</v>
      </c>
      <c r="G104" s="9">
        <v>44136</v>
      </c>
      <c r="H104" s="9" t="s">
        <v>88</v>
      </c>
      <c r="I104" s="9" t="s">
        <v>88</v>
      </c>
      <c r="J104" s="46" t="s">
        <v>88</v>
      </c>
      <c r="K104" s="9" t="s">
        <v>70</v>
      </c>
      <c r="L104" s="9" t="s">
        <v>70</v>
      </c>
      <c r="M104" s="2" t="s">
        <v>120</v>
      </c>
      <c r="N104" s="2" t="s">
        <v>674</v>
      </c>
      <c r="O104" s="2" t="s">
        <v>103</v>
      </c>
      <c r="P104" s="2" t="s">
        <v>201</v>
      </c>
      <c r="Q104" s="2" t="s">
        <v>132</v>
      </c>
      <c r="R104" s="2" t="s">
        <v>76</v>
      </c>
      <c r="S104" s="2" t="s">
        <v>68</v>
      </c>
      <c r="T104" s="2" t="s">
        <v>78</v>
      </c>
      <c r="U104" s="2" t="s">
        <v>79</v>
      </c>
      <c r="V104" s="2" t="s">
        <v>675</v>
      </c>
      <c r="W104" s="2" t="s">
        <v>147</v>
      </c>
      <c r="X104" s="2" t="s">
        <v>147</v>
      </c>
      <c r="Y104" s="2" t="s">
        <v>147</v>
      </c>
      <c r="Z104" s="2" t="s">
        <v>147</v>
      </c>
      <c r="AA104" s="2" t="s">
        <v>147</v>
      </c>
      <c r="AB104" s="26" t="s">
        <v>79</v>
      </c>
      <c r="AC104" s="26" t="s">
        <v>79</v>
      </c>
      <c r="AD104" s="26" t="s">
        <v>79</v>
      </c>
      <c r="AE104" s="26" t="s">
        <v>79</v>
      </c>
    </row>
    <row r="105" spans="1:31" ht="195" x14ac:dyDescent="0.25">
      <c r="A105" s="10" t="s">
        <v>676</v>
      </c>
      <c r="B105" s="2" t="s">
        <v>65</v>
      </c>
      <c r="C105" s="2" t="s">
        <v>66</v>
      </c>
      <c r="D105" s="2" t="s">
        <v>162</v>
      </c>
      <c r="E105" s="2" t="s">
        <v>68</v>
      </c>
      <c r="F105" s="2" t="s">
        <v>69</v>
      </c>
      <c r="G105" s="9">
        <v>41061</v>
      </c>
      <c r="H105" s="9">
        <v>41061</v>
      </c>
      <c r="I105" s="9">
        <v>42156</v>
      </c>
      <c r="J105" s="45">
        <v>3</v>
      </c>
      <c r="K105" s="9" t="s">
        <v>70</v>
      </c>
      <c r="L105" s="9" t="s">
        <v>70</v>
      </c>
      <c r="M105" s="2" t="s">
        <v>71</v>
      </c>
      <c r="N105" s="2" t="s">
        <v>677</v>
      </c>
      <c r="O105" s="2" t="s">
        <v>103</v>
      </c>
      <c r="P105" s="2" t="s">
        <v>678</v>
      </c>
      <c r="Q105" s="2" t="s">
        <v>256</v>
      </c>
      <c r="R105" s="20" t="s">
        <v>92</v>
      </c>
      <c r="S105" s="2" t="s">
        <v>77</v>
      </c>
      <c r="T105" s="2" t="s">
        <v>78</v>
      </c>
      <c r="U105" s="2" t="s">
        <v>79</v>
      </c>
      <c r="V105" s="2" t="s">
        <v>679</v>
      </c>
      <c r="W105" s="2" t="s">
        <v>81</v>
      </c>
      <c r="X105" s="2" t="s">
        <v>680</v>
      </c>
      <c r="Y105" s="2" t="s">
        <v>83</v>
      </c>
      <c r="Z105" s="2" t="s">
        <v>681</v>
      </c>
      <c r="AA105" s="2" t="s">
        <v>83</v>
      </c>
      <c r="AB105" s="26">
        <v>105</v>
      </c>
      <c r="AC105" s="26" t="s">
        <v>68</v>
      </c>
      <c r="AD105" s="26">
        <v>97994</v>
      </c>
      <c r="AE105" s="29">
        <v>20750000</v>
      </c>
    </row>
    <row r="106" spans="1:31" ht="75" x14ac:dyDescent="0.25">
      <c r="A106" s="10" t="s">
        <v>682</v>
      </c>
      <c r="B106" s="2" t="s">
        <v>294</v>
      </c>
      <c r="C106" s="2" t="s">
        <v>68</v>
      </c>
      <c r="D106" s="2" t="s">
        <v>68</v>
      </c>
      <c r="E106" s="2" t="s">
        <v>68</v>
      </c>
      <c r="F106" s="2" t="s">
        <v>69</v>
      </c>
      <c r="G106" s="9">
        <v>40330</v>
      </c>
      <c r="H106" s="9">
        <v>40544</v>
      </c>
      <c r="I106" s="9">
        <v>42705</v>
      </c>
      <c r="J106" s="45">
        <v>5.916666666666667</v>
      </c>
      <c r="K106" s="9" t="s">
        <v>101</v>
      </c>
      <c r="L106" s="9" t="s">
        <v>70</v>
      </c>
      <c r="M106" s="2" t="s">
        <v>71</v>
      </c>
      <c r="N106" s="2" t="s">
        <v>683</v>
      </c>
      <c r="O106" s="2" t="s">
        <v>103</v>
      </c>
      <c r="P106" s="2" t="s">
        <v>684</v>
      </c>
      <c r="Q106" s="2" t="s">
        <v>91</v>
      </c>
      <c r="R106" s="2" t="s">
        <v>92</v>
      </c>
      <c r="S106" s="2" t="s">
        <v>68</v>
      </c>
      <c r="T106" s="2" t="s">
        <v>78</v>
      </c>
      <c r="U106" s="2" t="s">
        <v>79</v>
      </c>
      <c r="V106" s="2" t="s">
        <v>685</v>
      </c>
      <c r="W106" s="2" t="s">
        <v>106</v>
      </c>
      <c r="X106" s="2" t="s">
        <v>686</v>
      </c>
      <c r="Y106" s="2" t="s">
        <v>83</v>
      </c>
      <c r="Z106" s="2" t="s">
        <v>687</v>
      </c>
      <c r="AA106" s="2" t="s">
        <v>688</v>
      </c>
      <c r="AB106" s="40">
        <v>800</v>
      </c>
      <c r="AC106" s="40">
        <v>6000</v>
      </c>
      <c r="AD106" s="40">
        <v>700000</v>
      </c>
      <c r="AE106" s="41">
        <v>125000000</v>
      </c>
    </row>
    <row r="107" spans="1:31" ht="135" x14ac:dyDescent="0.25">
      <c r="A107" s="10" t="s">
        <v>689</v>
      </c>
      <c r="B107" s="2" t="s">
        <v>65</v>
      </c>
      <c r="C107" s="2" t="s">
        <v>66</v>
      </c>
      <c r="D107" s="2" t="s">
        <v>171</v>
      </c>
      <c r="E107" s="2" t="s">
        <v>68</v>
      </c>
      <c r="F107" s="2" t="s">
        <v>69</v>
      </c>
      <c r="G107" s="9">
        <v>41061</v>
      </c>
      <c r="H107" s="9">
        <v>41061</v>
      </c>
      <c r="I107" s="9">
        <v>42156</v>
      </c>
      <c r="J107" s="45">
        <v>3</v>
      </c>
      <c r="K107" s="9" t="s">
        <v>70</v>
      </c>
      <c r="L107" s="9" t="s">
        <v>70</v>
      </c>
      <c r="M107" s="2" t="s">
        <v>71</v>
      </c>
      <c r="N107" s="2" t="s">
        <v>334</v>
      </c>
      <c r="O107" s="2" t="s">
        <v>89</v>
      </c>
      <c r="P107" s="2" t="s">
        <v>690</v>
      </c>
      <c r="Q107" s="2" t="s">
        <v>75</v>
      </c>
      <c r="R107" s="2" t="s">
        <v>92</v>
      </c>
      <c r="S107" s="2" t="s">
        <v>68</v>
      </c>
      <c r="T107" s="2" t="s">
        <v>78</v>
      </c>
      <c r="U107" s="2" t="s">
        <v>79</v>
      </c>
      <c r="V107" s="2" t="s">
        <v>691</v>
      </c>
      <c r="W107" s="2" t="s">
        <v>81</v>
      </c>
      <c r="X107" s="2" t="s">
        <v>692</v>
      </c>
      <c r="Y107" s="2" t="s">
        <v>83</v>
      </c>
      <c r="Z107" s="2" t="s">
        <v>693</v>
      </c>
      <c r="AA107" s="2" t="s">
        <v>85</v>
      </c>
      <c r="AB107" s="26">
        <v>3</v>
      </c>
      <c r="AC107" s="26" t="s">
        <v>68</v>
      </c>
      <c r="AD107" s="28" t="s">
        <v>88</v>
      </c>
      <c r="AE107" s="29">
        <v>18846090</v>
      </c>
    </row>
    <row r="108" spans="1:31" ht="45" x14ac:dyDescent="0.25">
      <c r="A108" s="10" t="s">
        <v>694</v>
      </c>
      <c r="B108" s="2" t="s">
        <v>119</v>
      </c>
      <c r="C108" s="2" t="s">
        <v>68</v>
      </c>
      <c r="D108" s="2" t="s">
        <v>68</v>
      </c>
      <c r="E108" s="2" t="s">
        <v>68</v>
      </c>
      <c r="F108" s="2" t="s">
        <v>69</v>
      </c>
      <c r="G108" s="9">
        <v>42064</v>
      </c>
      <c r="H108" s="9">
        <v>42370</v>
      </c>
      <c r="I108" s="9">
        <v>44531</v>
      </c>
      <c r="J108" s="45">
        <v>5.916666666666667</v>
      </c>
      <c r="K108" s="9" t="s">
        <v>101</v>
      </c>
      <c r="L108" s="9" t="s">
        <v>70</v>
      </c>
      <c r="M108" s="2" t="s">
        <v>71</v>
      </c>
      <c r="N108" s="2" t="s">
        <v>695</v>
      </c>
      <c r="O108" s="2" t="s">
        <v>103</v>
      </c>
      <c r="P108" s="2" t="s">
        <v>696</v>
      </c>
      <c r="Q108" s="2" t="s">
        <v>123</v>
      </c>
      <c r="R108" s="2" t="s">
        <v>92</v>
      </c>
      <c r="S108" s="2" t="s">
        <v>166</v>
      </c>
      <c r="T108" s="2" t="s">
        <v>133</v>
      </c>
      <c r="U108" s="2" t="s">
        <v>79</v>
      </c>
      <c r="V108" s="2" t="s">
        <v>697</v>
      </c>
      <c r="W108" s="2" t="s">
        <v>81</v>
      </c>
      <c r="X108" s="2" t="s">
        <v>698</v>
      </c>
      <c r="Y108" s="2" t="s">
        <v>204</v>
      </c>
      <c r="Z108" s="2" t="s">
        <v>699</v>
      </c>
      <c r="AA108" s="2" t="s">
        <v>83</v>
      </c>
      <c r="AB108" s="40">
        <v>50</v>
      </c>
      <c r="AC108" s="30">
        <v>61000</v>
      </c>
      <c r="AD108" s="30">
        <v>2000000</v>
      </c>
      <c r="AE108" s="41">
        <f>15343025+434619080+77718951</f>
        <v>527681056</v>
      </c>
    </row>
    <row r="109" spans="1:31" ht="45" x14ac:dyDescent="0.25">
      <c r="A109" s="10" t="s">
        <v>700</v>
      </c>
      <c r="B109" s="2" t="s">
        <v>119</v>
      </c>
      <c r="C109" s="2" t="s">
        <v>68</v>
      </c>
      <c r="D109" s="2" t="s">
        <v>68</v>
      </c>
      <c r="E109" s="2" t="s">
        <v>68</v>
      </c>
      <c r="F109" s="2" t="s">
        <v>69</v>
      </c>
      <c r="G109" s="9" t="s">
        <v>147</v>
      </c>
      <c r="H109" s="9">
        <v>39995</v>
      </c>
      <c r="I109" s="9">
        <v>41061</v>
      </c>
      <c r="J109" s="45">
        <v>2.9166666666666665</v>
      </c>
      <c r="K109" s="9" t="s">
        <v>70</v>
      </c>
      <c r="L109" s="9" t="s">
        <v>70</v>
      </c>
      <c r="M109" s="2" t="s">
        <v>71</v>
      </c>
      <c r="N109" s="2" t="s">
        <v>701</v>
      </c>
      <c r="O109" s="2" t="s">
        <v>103</v>
      </c>
      <c r="P109" s="2" t="s">
        <v>702</v>
      </c>
      <c r="Q109" s="2" t="s">
        <v>91</v>
      </c>
      <c r="R109" s="2" t="s">
        <v>92</v>
      </c>
      <c r="S109" s="2" t="s">
        <v>68</v>
      </c>
      <c r="T109" s="2" t="s">
        <v>78</v>
      </c>
      <c r="U109" s="2" t="s">
        <v>257</v>
      </c>
      <c r="V109" s="2" t="s">
        <v>703</v>
      </c>
      <c r="W109" s="2" t="s">
        <v>106</v>
      </c>
      <c r="X109" s="2" t="s">
        <v>704</v>
      </c>
      <c r="Y109" s="2" t="s">
        <v>85</v>
      </c>
      <c r="Z109" s="2" t="s">
        <v>135</v>
      </c>
      <c r="AA109" s="2" t="s">
        <v>83</v>
      </c>
      <c r="AB109" s="26">
        <f>38+72+6</f>
        <v>116</v>
      </c>
      <c r="AC109" s="26" t="s">
        <v>88</v>
      </c>
      <c r="AD109" s="28" t="s">
        <v>88</v>
      </c>
      <c r="AE109" s="34" t="s">
        <v>88</v>
      </c>
    </row>
    <row r="110" spans="1:31" ht="139.5" customHeight="1" x14ac:dyDescent="0.25">
      <c r="A110" s="10" t="s">
        <v>705</v>
      </c>
      <c r="B110" s="2" t="s">
        <v>199</v>
      </c>
      <c r="C110" s="2" t="s">
        <v>68</v>
      </c>
      <c r="D110" s="2" t="s">
        <v>68</v>
      </c>
      <c r="E110" s="2" t="s">
        <v>68</v>
      </c>
      <c r="F110" s="2" t="s">
        <v>100</v>
      </c>
      <c r="G110" s="9">
        <v>42036</v>
      </c>
      <c r="H110" s="9">
        <v>42552</v>
      </c>
      <c r="I110" s="9">
        <v>44348</v>
      </c>
      <c r="J110" s="45">
        <v>4.916666666666667</v>
      </c>
      <c r="K110" s="9" t="s">
        <v>70</v>
      </c>
      <c r="L110" s="9" t="s">
        <v>70</v>
      </c>
      <c r="M110" s="2" t="s">
        <v>71</v>
      </c>
      <c r="N110" s="2" t="s">
        <v>706</v>
      </c>
      <c r="O110" s="2" t="s">
        <v>103</v>
      </c>
      <c r="P110" s="2" t="s">
        <v>201</v>
      </c>
      <c r="Q110" s="2" t="s">
        <v>132</v>
      </c>
      <c r="R110" s="2" t="s">
        <v>124</v>
      </c>
      <c r="S110" s="2" t="s">
        <v>68</v>
      </c>
      <c r="T110" s="2" t="s">
        <v>103</v>
      </c>
      <c r="U110" s="2" t="s">
        <v>85</v>
      </c>
      <c r="V110" s="2" t="s">
        <v>707</v>
      </c>
      <c r="W110" s="2" t="s">
        <v>81</v>
      </c>
      <c r="X110" s="2" t="s">
        <v>708</v>
      </c>
      <c r="Y110" s="2" t="s">
        <v>85</v>
      </c>
      <c r="Z110" s="2" t="s">
        <v>135</v>
      </c>
      <c r="AA110" s="2" t="s">
        <v>83</v>
      </c>
      <c r="AB110" s="28">
        <v>191</v>
      </c>
      <c r="AC110" s="26" t="s">
        <v>88</v>
      </c>
      <c r="AD110" s="28">
        <v>130000</v>
      </c>
      <c r="AE110" s="48">
        <f>13319081+87421981</f>
        <v>100741062</v>
      </c>
    </row>
    <row r="111" spans="1:31" ht="131.25" customHeight="1" x14ac:dyDescent="0.25">
      <c r="A111" s="10" t="s">
        <v>709</v>
      </c>
      <c r="B111" s="2" t="s">
        <v>65</v>
      </c>
      <c r="C111" s="2" t="s">
        <v>98</v>
      </c>
      <c r="D111" s="2" t="s">
        <v>68</v>
      </c>
      <c r="E111" s="2" t="s">
        <v>318</v>
      </c>
      <c r="F111" s="2" t="s">
        <v>100</v>
      </c>
      <c r="G111" s="9">
        <v>41395</v>
      </c>
      <c r="H111" s="9">
        <v>42064</v>
      </c>
      <c r="I111" s="9">
        <v>43251</v>
      </c>
      <c r="J111" s="45">
        <v>3.25</v>
      </c>
      <c r="K111" s="9" t="s">
        <v>101</v>
      </c>
      <c r="L111" s="9" t="s">
        <v>70</v>
      </c>
      <c r="M111" s="2" t="s">
        <v>71</v>
      </c>
      <c r="N111" s="2" t="s">
        <v>710</v>
      </c>
      <c r="O111" s="2" t="s">
        <v>103</v>
      </c>
      <c r="P111" s="2" t="s">
        <v>157</v>
      </c>
      <c r="Q111" s="2" t="s">
        <v>75</v>
      </c>
      <c r="R111" s="2" t="s">
        <v>711</v>
      </c>
      <c r="S111" s="2" t="s">
        <v>104</v>
      </c>
      <c r="T111" s="2" t="s">
        <v>70</v>
      </c>
      <c r="U111" s="2" t="s">
        <v>79</v>
      </c>
      <c r="V111" s="2" t="s">
        <v>712</v>
      </c>
      <c r="W111" s="2" t="s">
        <v>175</v>
      </c>
      <c r="X111" s="2" t="s">
        <v>713</v>
      </c>
      <c r="Y111" s="2" t="s">
        <v>83</v>
      </c>
      <c r="Z111" s="2" t="s">
        <v>714</v>
      </c>
      <c r="AA111" s="2" t="s">
        <v>83</v>
      </c>
      <c r="AB111" s="26">
        <v>227</v>
      </c>
      <c r="AC111" s="26" t="s">
        <v>68</v>
      </c>
      <c r="AD111" s="30">
        <v>247926</v>
      </c>
      <c r="AE111" s="31">
        <v>15634150</v>
      </c>
    </row>
    <row r="112" spans="1:31" ht="60" x14ac:dyDescent="0.25">
      <c r="A112" s="10" t="s">
        <v>715</v>
      </c>
      <c r="B112" s="2" t="s">
        <v>65</v>
      </c>
      <c r="C112" s="2" t="s">
        <v>68</v>
      </c>
      <c r="D112" s="2" t="s">
        <v>68</v>
      </c>
      <c r="E112" s="2" t="s">
        <v>68</v>
      </c>
      <c r="F112" s="2" t="s">
        <v>100</v>
      </c>
      <c r="G112" s="9">
        <v>42248</v>
      </c>
      <c r="H112" s="9">
        <v>42736</v>
      </c>
      <c r="I112" s="9">
        <v>44561</v>
      </c>
      <c r="J112" s="45">
        <v>5</v>
      </c>
      <c r="K112" s="9" t="s">
        <v>70</v>
      </c>
      <c r="L112" s="9" t="s">
        <v>70</v>
      </c>
      <c r="M112" s="2" t="s">
        <v>71</v>
      </c>
      <c r="N112" s="2" t="s">
        <v>716</v>
      </c>
      <c r="O112" s="2" t="s">
        <v>103</v>
      </c>
      <c r="P112" s="2" t="s">
        <v>717</v>
      </c>
      <c r="Q112" s="2" t="s">
        <v>256</v>
      </c>
      <c r="R112" s="2" t="s">
        <v>711</v>
      </c>
      <c r="S112" s="2" t="s">
        <v>68</v>
      </c>
      <c r="T112" s="2" t="s">
        <v>78</v>
      </c>
      <c r="U112" s="2" t="s">
        <v>79</v>
      </c>
      <c r="V112" s="2" t="s">
        <v>718</v>
      </c>
      <c r="W112" s="2" t="s">
        <v>175</v>
      </c>
      <c r="X112" s="2" t="s">
        <v>719</v>
      </c>
      <c r="Y112" s="2" t="s">
        <v>83</v>
      </c>
      <c r="Z112" s="2" t="s">
        <v>720</v>
      </c>
      <c r="AA112" s="2" t="s">
        <v>83</v>
      </c>
      <c r="AB112" s="26">
        <v>22</v>
      </c>
      <c r="AC112" s="26" t="s">
        <v>68</v>
      </c>
      <c r="AD112" s="26" t="s">
        <v>721</v>
      </c>
      <c r="AE112" s="41">
        <v>135240727</v>
      </c>
    </row>
    <row r="113" spans="1:31" ht="150" x14ac:dyDescent="0.25">
      <c r="A113" s="10" t="s">
        <v>722</v>
      </c>
      <c r="B113" s="2" t="s">
        <v>65</v>
      </c>
      <c r="C113" s="2" t="s">
        <v>68</v>
      </c>
      <c r="D113" s="2" t="s">
        <v>68</v>
      </c>
      <c r="E113" s="2" t="s">
        <v>68</v>
      </c>
      <c r="F113" s="2" t="s">
        <v>100</v>
      </c>
      <c r="G113" s="9">
        <v>43466</v>
      </c>
      <c r="H113" s="9">
        <v>43831</v>
      </c>
      <c r="I113" s="9">
        <v>44561</v>
      </c>
      <c r="J113" s="45">
        <v>2</v>
      </c>
      <c r="K113" s="9" t="s">
        <v>70</v>
      </c>
      <c r="L113" s="9" t="s">
        <v>70</v>
      </c>
      <c r="M113" s="2" t="s">
        <v>71</v>
      </c>
      <c r="N113" s="2" t="s">
        <v>723</v>
      </c>
      <c r="O113" s="2" t="s">
        <v>103</v>
      </c>
      <c r="P113" s="2" t="s">
        <v>201</v>
      </c>
      <c r="Q113" s="2" t="s">
        <v>132</v>
      </c>
      <c r="R113" s="2" t="s">
        <v>711</v>
      </c>
      <c r="S113" s="2" t="s">
        <v>68</v>
      </c>
      <c r="T113" s="2" t="s">
        <v>78</v>
      </c>
      <c r="U113" s="2" t="s">
        <v>393</v>
      </c>
      <c r="V113" s="2" t="s">
        <v>724</v>
      </c>
      <c r="W113" s="2" t="s">
        <v>147</v>
      </c>
      <c r="X113" s="2" t="s">
        <v>147</v>
      </c>
      <c r="Y113" s="2" t="s">
        <v>147</v>
      </c>
      <c r="Z113" s="2" t="s">
        <v>147</v>
      </c>
      <c r="AA113" s="2" t="s">
        <v>147</v>
      </c>
      <c r="AB113" s="26" t="s">
        <v>79</v>
      </c>
      <c r="AC113" s="26" t="s">
        <v>79</v>
      </c>
      <c r="AD113" s="26" t="s">
        <v>79</v>
      </c>
      <c r="AE113" s="26" t="s">
        <v>79</v>
      </c>
    </row>
    <row r="114" spans="1:31" ht="120" x14ac:dyDescent="0.25">
      <c r="A114" s="10" t="s">
        <v>725</v>
      </c>
      <c r="B114" s="2" t="s">
        <v>65</v>
      </c>
      <c r="C114" s="2" t="s">
        <v>68</v>
      </c>
      <c r="D114" s="2" t="s">
        <v>68</v>
      </c>
      <c r="E114" s="2" t="s">
        <v>68</v>
      </c>
      <c r="F114" s="2" t="s">
        <v>100</v>
      </c>
      <c r="G114" s="9">
        <v>43891</v>
      </c>
      <c r="H114" s="9">
        <v>44197</v>
      </c>
      <c r="I114" s="9">
        <v>45992</v>
      </c>
      <c r="J114" s="45">
        <v>4.916666666666667</v>
      </c>
      <c r="K114" s="9" t="s">
        <v>70</v>
      </c>
      <c r="L114" s="9" t="s">
        <v>70</v>
      </c>
      <c r="M114" s="2" t="s">
        <v>71</v>
      </c>
      <c r="N114" s="2" t="s">
        <v>716</v>
      </c>
      <c r="O114" s="2" t="s">
        <v>103</v>
      </c>
      <c r="P114" s="2" t="s">
        <v>201</v>
      </c>
      <c r="Q114" s="2" t="s">
        <v>132</v>
      </c>
      <c r="R114" s="2" t="s">
        <v>711</v>
      </c>
      <c r="S114" s="2" t="s">
        <v>68</v>
      </c>
      <c r="T114" s="2" t="s">
        <v>78</v>
      </c>
      <c r="U114" s="2" t="s">
        <v>79</v>
      </c>
      <c r="V114" s="2" t="s">
        <v>726</v>
      </c>
      <c r="W114" s="2" t="s">
        <v>147</v>
      </c>
      <c r="X114" s="2" t="s">
        <v>147</v>
      </c>
      <c r="Y114" s="2" t="s">
        <v>147</v>
      </c>
      <c r="Z114" s="2" t="s">
        <v>147</v>
      </c>
      <c r="AA114" s="2" t="s">
        <v>147</v>
      </c>
      <c r="AB114" s="26" t="s">
        <v>79</v>
      </c>
      <c r="AC114" s="26" t="s">
        <v>79</v>
      </c>
      <c r="AD114" s="26" t="s">
        <v>79</v>
      </c>
      <c r="AE114" s="26" t="s">
        <v>79</v>
      </c>
    </row>
    <row r="115" spans="1:31" ht="90" x14ac:dyDescent="0.25">
      <c r="A115" s="10" t="s">
        <v>727</v>
      </c>
      <c r="B115" s="2" t="s">
        <v>253</v>
      </c>
      <c r="C115" s="2" t="s">
        <v>68</v>
      </c>
      <c r="D115" s="2" t="s">
        <v>68</v>
      </c>
      <c r="E115" s="2" t="s">
        <v>68</v>
      </c>
      <c r="F115" s="2" t="s">
        <v>69</v>
      </c>
      <c r="G115" s="9" t="s">
        <v>147</v>
      </c>
      <c r="H115" s="9">
        <v>40634</v>
      </c>
      <c r="I115" s="9">
        <v>42614</v>
      </c>
      <c r="J115" s="45">
        <v>5.416666666666667</v>
      </c>
      <c r="K115" s="19" t="s">
        <v>70</v>
      </c>
      <c r="L115" s="9" t="s">
        <v>70</v>
      </c>
      <c r="M115" s="2" t="s">
        <v>71</v>
      </c>
      <c r="N115" s="2" t="s">
        <v>728</v>
      </c>
      <c r="O115" s="2" t="s">
        <v>103</v>
      </c>
      <c r="P115" s="2" t="s">
        <v>729</v>
      </c>
      <c r="Q115" s="2" t="s">
        <v>132</v>
      </c>
      <c r="R115" s="2" t="s">
        <v>92</v>
      </c>
      <c r="S115" s="2" t="s">
        <v>93</v>
      </c>
      <c r="T115" s="2" t="s">
        <v>78</v>
      </c>
      <c r="U115" s="2" t="s">
        <v>79</v>
      </c>
      <c r="V115" s="2" t="s">
        <v>730</v>
      </c>
      <c r="W115" s="2" t="s">
        <v>175</v>
      </c>
      <c r="X115" s="2" t="s">
        <v>731</v>
      </c>
      <c r="Y115" s="2" t="s">
        <v>127</v>
      </c>
      <c r="Z115" s="2" t="s">
        <v>732</v>
      </c>
      <c r="AA115" s="2" t="s">
        <v>178</v>
      </c>
      <c r="AB115" s="30">
        <v>3500</v>
      </c>
      <c r="AC115" s="26" t="s">
        <v>147</v>
      </c>
      <c r="AD115" s="26" t="s">
        <v>147</v>
      </c>
      <c r="AE115" s="32">
        <f>460059702+110763842</f>
        <v>570823544</v>
      </c>
    </row>
    <row r="116" spans="1:31" ht="118.5" customHeight="1" x14ac:dyDescent="0.25">
      <c r="A116" s="10" t="s">
        <v>733</v>
      </c>
      <c r="B116" s="2" t="s">
        <v>65</v>
      </c>
      <c r="C116" s="2" t="s">
        <v>66</v>
      </c>
      <c r="D116" s="2" t="s">
        <v>171</v>
      </c>
      <c r="E116" s="2" t="s">
        <v>68</v>
      </c>
      <c r="F116" s="2" t="s">
        <v>69</v>
      </c>
      <c r="G116" s="9">
        <v>41061</v>
      </c>
      <c r="H116" s="9">
        <v>41061</v>
      </c>
      <c r="I116" s="9">
        <v>42156</v>
      </c>
      <c r="J116" s="45">
        <v>3</v>
      </c>
      <c r="K116" s="9" t="s">
        <v>70</v>
      </c>
      <c r="L116" s="9" t="s">
        <v>70</v>
      </c>
      <c r="M116" s="2" t="s">
        <v>71</v>
      </c>
      <c r="N116" s="2" t="s">
        <v>241</v>
      </c>
      <c r="O116" s="2" t="s">
        <v>103</v>
      </c>
      <c r="P116" s="2" t="s">
        <v>734</v>
      </c>
      <c r="Q116" s="2" t="s">
        <v>91</v>
      </c>
      <c r="R116" s="2" t="s">
        <v>76</v>
      </c>
      <c r="S116" s="2" t="s">
        <v>93</v>
      </c>
      <c r="T116" s="2" t="s">
        <v>78</v>
      </c>
      <c r="U116" s="2" t="s">
        <v>79</v>
      </c>
      <c r="V116" s="2" t="s">
        <v>735</v>
      </c>
      <c r="W116" s="2" t="s">
        <v>81</v>
      </c>
      <c r="X116" s="2" t="s">
        <v>429</v>
      </c>
      <c r="Y116" s="2" t="s">
        <v>83</v>
      </c>
      <c r="Z116" s="2" t="s">
        <v>736</v>
      </c>
      <c r="AA116" s="2" t="s">
        <v>83</v>
      </c>
      <c r="AB116" s="26">
        <v>3</v>
      </c>
      <c r="AC116" s="26" t="s">
        <v>68</v>
      </c>
      <c r="AD116" s="30">
        <v>5100</v>
      </c>
      <c r="AE116" s="33">
        <v>4967276</v>
      </c>
    </row>
    <row r="117" spans="1:31" ht="118.5" customHeight="1" x14ac:dyDescent="0.25">
      <c r="A117" s="10" t="s">
        <v>737</v>
      </c>
      <c r="B117" s="2" t="s">
        <v>65</v>
      </c>
      <c r="C117" s="2" t="s">
        <v>66</v>
      </c>
      <c r="D117" s="2" t="s">
        <v>67</v>
      </c>
      <c r="E117" s="2" t="s">
        <v>68</v>
      </c>
      <c r="F117" s="2" t="s">
        <v>69</v>
      </c>
      <c r="G117" s="9">
        <v>41061</v>
      </c>
      <c r="H117" s="9">
        <v>41061</v>
      </c>
      <c r="I117" s="9">
        <v>42156</v>
      </c>
      <c r="J117" s="45">
        <v>3</v>
      </c>
      <c r="K117" s="9" t="s">
        <v>70</v>
      </c>
      <c r="L117" s="9" t="s">
        <v>70</v>
      </c>
      <c r="M117" s="2" t="s">
        <v>71</v>
      </c>
      <c r="N117" s="2" t="s">
        <v>469</v>
      </c>
      <c r="O117" s="2" t="s">
        <v>89</v>
      </c>
      <c r="P117" s="2" t="s">
        <v>139</v>
      </c>
      <c r="Q117" s="2" t="s">
        <v>75</v>
      </c>
      <c r="R117" s="2" t="s">
        <v>76</v>
      </c>
      <c r="S117" s="2" t="s">
        <v>77</v>
      </c>
      <c r="T117" s="2" t="s">
        <v>78</v>
      </c>
      <c r="U117" s="2" t="s">
        <v>79</v>
      </c>
      <c r="V117" s="2" t="s">
        <v>738</v>
      </c>
      <c r="W117" s="2" t="s">
        <v>81</v>
      </c>
      <c r="X117" s="2" t="s">
        <v>739</v>
      </c>
      <c r="Y117" s="2" t="s">
        <v>127</v>
      </c>
      <c r="Z117" s="2" t="s">
        <v>740</v>
      </c>
      <c r="AA117" s="2" t="s">
        <v>83</v>
      </c>
      <c r="AB117" s="26">
        <v>1</v>
      </c>
      <c r="AC117" s="26" t="s">
        <v>68</v>
      </c>
      <c r="AD117" s="26">
        <v>3113</v>
      </c>
      <c r="AE117" s="27">
        <v>3373602</v>
      </c>
    </row>
    <row r="118" spans="1:31" ht="75" x14ac:dyDescent="0.25">
      <c r="A118" s="10" t="s">
        <v>741</v>
      </c>
      <c r="B118" s="2" t="s">
        <v>65</v>
      </c>
      <c r="C118" s="2" t="s">
        <v>66</v>
      </c>
      <c r="D118" s="2" t="s">
        <v>187</v>
      </c>
      <c r="E118" s="2" t="s">
        <v>68</v>
      </c>
      <c r="F118" s="2" t="s">
        <v>69</v>
      </c>
      <c r="G118" s="9">
        <v>41061</v>
      </c>
      <c r="H118" s="9">
        <v>41091</v>
      </c>
      <c r="I118" s="9">
        <v>42277</v>
      </c>
      <c r="J118" s="45">
        <v>3.2472222222222222</v>
      </c>
      <c r="K118" s="9" t="s">
        <v>101</v>
      </c>
      <c r="L118" s="9" t="s">
        <v>70</v>
      </c>
      <c r="M118" s="2" t="s">
        <v>71</v>
      </c>
      <c r="N118" s="2" t="s">
        <v>742</v>
      </c>
      <c r="O118" s="2" t="s">
        <v>73</v>
      </c>
      <c r="P118" s="2" t="s">
        <v>743</v>
      </c>
      <c r="Q118" s="2" t="s">
        <v>91</v>
      </c>
      <c r="R118" s="2" t="s">
        <v>76</v>
      </c>
      <c r="S118" s="2" t="s">
        <v>77</v>
      </c>
      <c r="T118" s="2" t="s">
        <v>78</v>
      </c>
      <c r="U118" s="2" t="s">
        <v>79</v>
      </c>
      <c r="V118" s="2" t="s">
        <v>744</v>
      </c>
      <c r="W118" s="2" t="s">
        <v>81</v>
      </c>
      <c r="X118" s="2" t="s">
        <v>745</v>
      </c>
      <c r="Y118" s="2" t="s">
        <v>83</v>
      </c>
      <c r="Z118" s="2" t="s">
        <v>746</v>
      </c>
      <c r="AA118" s="2" t="s">
        <v>178</v>
      </c>
      <c r="AB118" s="26" t="s">
        <v>68</v>
      </c>
      <c r="AC118" s="26" t="s">
        <v>68</v>
      </c>
      <c r="AD118" s="26">
        <v>232</v>
      </c>
      <c r="AE118" s="27">
        <v>7718636</v>
      </c>
    </row>
    <row r="119" spans="1:31" ht="195" x14ac:dyDescent="0.25">
      <c r="A119" s="10" t="s">
        <v>747</v>
      </c>
      <c r="B119" s="2" t="s">
        <v>65</v>
      </c>
      <c r="C119" s="2" t="s">
        <v>66</v>
      </c>
      <c r="D119" s="2" t="s">
        <v>324</v>
      </c>
      <c r="E119" s="2" t="s">
        <v>68</v>
      </c>
      <c r="F119" s="2" t="s">
        <v>69</v>
      </c>
      <c r="G119" s="9">
        <v>41061</v>
      </c>
      <c r="H119" s="9">
        <v>41061</v>
      </c>
      <c r="I119" s="9">
        <v>42185</v>
      </c>
      <c r="J119" s="45">
        <v>3.0805555555555557</v>
      </c>
      <c r="K119" s="9" t="s">
        <v>70</v>
      </c>
      <c r="L119" s="9" t="s">
        <v>70</v>
      </c>
      <c r="M119" s="2" t="s">
        <v>71</v>
      </c>
      <c r="N119" s="2" t="s">
        <v>172</v>
      </c>
      <c r="O119" s="2" t="s">
        <v>103</v>
      </c>
      <c r="P119" s="2" t="s">
        <v>748</v>
      </c>
      <c r="Q119" s="2" t="s">
        <v>91</v>
      </c>
      <c r="R119" s="2" t="s">
        <v>182</v>
      </c>
      <c r="S119" s="2" t="s">
        <v>77</v>
      </c>
      <c r="T119" s="2" t="s">
        <v>78</v>
      </c>
      <c r="U119" s="2" t="s">
        <v>79</v>
      </c>
      <c r="V119" s="2" t="s">
        <v>749</v>
      </c>
      <c r="W119" s="2" t="s">
        <v>81</v>
      </c>
      <c r="X119" s="2" t="s">
        <v>750</v>
      </c>
      <c r="Y119" s="2" t="s">
        <v>83</v>
      </c>
      <c r="Z119" s="2" t="s">
        <v>751</v>
      </c>
      <c r="AA119" s="2" t="s">
        <v>178</v>
      </c>
      <c r="AB119" s="26" t="s">
        <v>88</v>
      </c>
      <c r="AC119" s="26" t="s">
        <v>68</v>
      </c>
      <c r="AD119" s="30">
        <v>710</v>
      </c>
      <c r="AE119" s="33">
        <v>16035264</v>
      </c>
    </row>
    <row r="120" spans="1:31" ht="75" x14ac:dyDescent="0.25">
      <c r="A120" s="10" t="s">
        <v>752</v>
      </c>
      <c r="B120" s="2" t="s">
        <v>65</v>
      </c>
      <c r="C120" s="2" t="s">
        <v>68</v>
      </c>
      <c r="D120" s="2" t="s">
        <v>68</v>
      </c>
      <c r="E120" s="2" t="s">
        <v>68</v>
      </c>
      <c r="F120" s="2" t="s">
        <v>100</v>
      </c>
      <c r="G120" s="9">
        <v>42736</v>
      </c>
      <c r="H120" s="9">
        <v>43101</v>
      </c>
      <c r="I120" s="9">
        <v>45292</v>
      </c>
      <c r="J120" s="45">
        <v>6</v>
      </c>
      <c r="K120" s="9" t="s">
        <v>70</v>
      </c>
      <c r="L120" s="9" t="s">
        <v>70</v>
      </c>
      <c r="M120" s="2" t="s">
        <v>71</v>
      </c>
      <c r="N120" s="2" t="s">
        <v>753</v>
      </c>
      <c r="O120" s="2" t="s">
        <v>73</v>
      </c>
      <c r="P120" s="2" t="s">
        <v>754</v>
      </c>
      <c r="Q120" s="2" t="s">
        <v>75</v>
      </c>
      <c r="R120" s="2" t="s">
        <v>182</v>
      </c>
      <c r="S120" s="2" t="s">
        <v>93</v>
      </c>
      <c r="T120" s="2" t="s">
        <v>78</v>
      </c>
      <c r="U120" s="2" t="s">
        <v>393</v>
      </c>
      <c r="V120" s="2" t="s">
        <v>755</v>
      </c>
      <c r="W120" s="2" t="s">
        <v>147</v>
      </c>
      <c r="X120" s="2" t="s">
        <v>147</v>
      </c>
      <c r="Y120" s="2" t="s">
        <v>147</v>
      </c>
      <c r="Z120" s="2" t="s">
        <v>147</v>
      </c>
      <c r="AA120" s="2" t="s">
        <v>147</v>
      </c>
      <c r="AB120" s="26">
        <v>13</v>
      </c>
      <c r="AC120" s="26" t="s">
        <v>68</v>
      </c>
      <c r="AD120" s="26" t="s">
        <v>68</v>
      </c>
      <c r="AE120" s="41">
        <v>11994917</v>
      </c>
    </row>
    <row r="121" spans="1:31" ht="93.75" customHeight="1" x14ac:dyDescent="0.25">
      <c r="A121" s="10" t="s">
        <v>756</v>
      </c>
      <c r="B121" s="2" t="s">
        <v>65</v>
      </c>
      <c r="C121" s="2" t="s">
        <v>98</v>
      </c>
      <c r="D121" s="2" t="s">
        <v>68</v>
      </c>
      <c r="E121" s="2" t="s">
        <v>99</v>
      </c>
      <c r="F121" s="2" t="s">
        <v>100</v>
      </c>
      <c r="G121" s="9">
        <v>41395</v>
      </c>
      <c r="H121" s="9">
        <v>42005</v>
      </c>
      <c r="I121" s="9">
        <v>43251</v>
      </c>
      <c r="J121" s="45">
        <v>3.4166666666666665</v>
      </c>
      <c r="K121" s="9" t="s">
        <v>101</v>
      </c>
      <c r="L121" s="9" t="s">
        <v>70</v>
      </c>
      <c r="M121" s="2" t="s">
        <v>71</v>
      </c>
      <c r="N121" s="2" t="s">
        <v>757</v>
      </c>
      <c r="O121" s="2" t="s">
        <v>89</v>
      </c>
      <c r="P121" s="2" t="s">
        <v>589</v>
      </c>
      <c r="Q121" s="2" t="s">
        <v>75</v>
      </c>
      <c r="R121" s="2" t="s">
        <v>92</v>
      </c>
      <c r="S121" s="2" t="s">
        <v>68</v>
      </c>
      <c r="T121" s="2" t="s">
        <v>70</v>
      </c>
      <c r="U121" s="2" t="s">
        <v>79</v>
      </c>
      <c r="V121" s="2" t="s">
        <v>758</v>
      </c>
      <c r="W121" s="2" t="s">
        <v>106</v>
      </c>
      <c r="X121" s="2" t="s">
        <v>759</v>
      </c>
      <c r="Y121" s="2" t="s">
        <v>83</v>
      </c>
      <c r="Z121" s="2" t="s">
        <v>760</v>
      </c>
      <c r="AA121" s="2" t="s">
        <v>178</v>
      </c>
      <c r="AB121" s="26">
        <v>10</v>
      </c>
      <c r="AC121" s="26" t="s">
        <v>68</v>
      </c>
      <c r="AD121" s="30">
        <v>8016</v>
      </c>
      <c r="AE121" s="31">
        <v>3347584</v>
      </c>
    </row>
    <row r="122" spans="1:31" ht="135" x14ac:dyDescent="0.25">
      <c r="A122" s="10" t="s">
        <v>761</v>
      </c>
      <c r="B122" s="2" t="s">
        <v>65</v>
      </c>
      <c r="C122" s="2" t="s">
        <v>66</v>
      </c>
      <c r="D122" s="2" t="s">
        <v>87</v>
      </c>
      <c r="E122" s="2" t="s">
        <v>68</v>
      </c>
      <c r="F122" s="2" t="s">
        <v>69</v>
      </c>
      <c r="G122" s="9">
        <v>41061</v>
      </c>
      <c r="H122" s="9">
        <v>41061</v>
      </c>
      <c r="I122" s="9">
        <v>42551</v>
      </c>
      <c r="J122" s="45">
        <v>4.0805555555555557</v>
      </c>
      <c r="K122" s="9" t="s">
        <v>212</v>
      </c>
      <c r="L122" s="9" t="s">
        <v>70</v>
      </c>
      <c r="M122" s="2" t="s">
        <v>71</v>
      </c>
      <c r="N122" s="2" t="s">
        <v>762</v>
      </c>
      <c r="O122" s="2" t="s">
        <v>73</v>
      </c>
      <c r="P122" s="2" t="s">
        <v>763</v>
      </c>
      <c r="Q122" s="2" t="s">
        <v>75</v>
      </c>
      <c r="R122" s="2" t="s">
        <v>124</v>
      </c>
      <c r="S122" s="2" t="s">
        <v>68</v>
      </c>
      <c r="T122" s="2" t="s">
        <v>78</v>
      </c>
      <c r="U122" s="2" t="s">
        <v>79</v>
      </c>
      <c r="V122" s="2" t="s">
        <v>764</v>
      </c>
      <c r="W122" s="2" t="s">
        <v>81</v>
      </c>
      <c r="X122" s="2" t="s">
        <v>765</v>
      </c>
      <c r="Y122" s="2" t="s">
        <v>83</v>
      </c>
      <c r="Z122" s="2" t="s">
        <v>766</v>
      </c>
      <c r="AA122" s="2" t="s">
        <v>178</v>
      </c>
      <c r="AB122" s="26">
        <v>3</v>
      </c>
      <c r="AC122" s="26">
        <v>1</v>
      </c>
      <c r="AD122" s="30">
        <v>2145</v>
      </c>
      <c r="AE122" s="29">
        <v>14346043</v>
      </c>
    </row>
    <row r="123" spans="1:31" ht="137.25" customHeight="1" x14ac:dyDescent="0.25">
      <c r="A123" s="10" t="s">
        <v>767</v>
      </c>
      <c r="B123" s="2" t="s">
        <v>119</v>
      </c>
      <c r="C123" s="2" t="s">
        <v>68</v>
      </c>
      <c r="D123" s="2" t="s">
        <v>68</v>
      </c>
      <c r="E123" s="2" t="s">
        <v>68</v>
      </c>
      <c r="F123" s="2" t="s">
        <v>69</v>
      </c>
      <c r="G123" s="9" t="s">
        <v>147</v>
      </c>
      <c r="H123" s="9">
        <v>40544</v>
      </c>
      <c r="I123" s="9">
        <v>41244</v>
      </c>
      <c r="J123" s="45">
        <v>1.9166666666666667</v>
      </c>
      <c r="K123" s="9" t="s">
        <v>70</v>
      </c>
      <c r="L123" s="9" t="s">
        <v>70</v>
      </c>
      <c r="M123" s="2" t="s">
        <v>120</v>
      </c>
      <c r="N123" s="2" t="s">
        <v>768</v>
      </c>
      <c r="O123" s="2" t="s">
        <v>103</v>
      </c>
      <c r="P123" s="2" t="s">
        <v>769</v>
      </c>
      <c r="Q123" s="2" t="s">
        <v>91</v>
      </c>
      <c r="R123" s="2" t="s">
        <v>92</v>
      </c>
      <c r="S123" s="2" t="s">
        <v>68</v>
      </c>
      <c r="T123" s="2" t="s">
        <v>78</v>
      </c>
      <c r="U123" s="2" t="s">
        <v>257</v>
      </c>
      <c r="V123" s="2" t="s">
        <v>770</v>
      </c>
      <c r="W123" s="2" t="s">
        <v>106</v>
      </c>
      <c r="X123" s="2" t="s">
        <v>771</v>
      </c>
      <c r="Y123" s="2" t="s">
        <v>85</v>
      </c>
      <c r="Z123" s="2" t="s">
        <v>772</v>
      </c>
      <c r="AA123" s="2" t="s">
        <v>178</v>
      </c>
      <c r="AB123" s="26">
        <v>10</v>
      </c>
      <c r="AC123" s="26">
        <v>5000</v>
      </c>
      <c r="AD123" s="30">
        <v>220000</v>
      </c>
      <c r="AE123" s="32">
        <v>8986697</v>
      </c>
    </row>
    <row r="124" spans="1:31" ht="45" x14ac:dyDescent="0.25">
      <c r="A124" s="10" t="s">
        <v>773</v>
      </c>
      <c r="B124" s="2" t="s">
        <v>199</v>
      </c>
      <c r="C124" s="2" t="s">
        <v>68</v>
      </c>
      <c r="D124" s="2" t="s">
        <v>68</v>
      </c>
      <c r="E124" s="2" t="s">
        <v>68</v>
      </c>
      <c r="F124" s="2" t="s">
        <v>69</v>
      </c>
      <c r="G124" s="9">
        <v>38961</v>
      </c>
      <c r="H124" s="9">
        <v>39995</v>
      </c>
      <c r="I124" s="9">
        <v>41365</v>
      </c>
      <c r="J124" s="45">
        <v>3.75</v>
      </c>
      <c r="K124" s="9" t="s">
        <v>70</v>
      </c>
      <c r="L124" s="9" t="s">
        <v>70</v>
      </c>
      <c r="M124" s="2" t="s">
        <v>71</v>
      </c>
      <c r="N124" s="2" t="s">
        <v>172</v>
      </c>
      <c r="O124" s="2" t="s">
        <v>103</v>
      </c>
      <c r="P124" s="2" t="s">
        <v>774</v>
      </c>
      <c r="Q124" s="2" t="s">
        <v>75</v>
      </c>
      <c r="R124" s="2" t="s">
        <v>92</v>
      </c>
      <c r="S124" s="2" t="s">
        <v>68</v>
      </c>
      <c r="T124" s="2" t="s">
        <v>78</v>
      </c>
      <c r="U124" s="2" t="s">
        <v>79</v>
      </c>
      <c r="V124" s="2" t="s">
        <v>775</v>
      </c>
      <c r="W124" s="2" t="s">
        <v>106</v>
      </c>
      <c r="X124" s="2" t="s">
        <v>776</v>
      </c>
      <c r="Y124" s="2" t="s">
        <v>204</v>
      </c>
      <c r="Z124" s="2" t="s">
        <v>777</v>
      </c>
      <c r="AA124" s="2" t="s">
        <v>83</v>
      </c>
      <c r="AB124" s="28">
        <v>12</v>
      </c>
      <c r="AC124" s="26" t="s">
        <v>88</v>
      </c>
      <c r="AD124" s="28" t="s">
        <v>88</v>
      </c>
      <c r="AE124" s="34" t="s">
        <v>68</v>
      </c>
    </row>
    <row r="125" spans="1:31" ht="60" x14ac:dyDescent="0.25">
      <c r="A125" s="10" t="s">
        <v>778</v>
      </c>
      <c r="B125" s="2" t="s">
        <v>65</v>
      </c>
      <c r="C125" s="2" t="s">
        <v>66</v>
      </c>
      <c r="D125" s="2" t="s">
        <v>137</v>
      </c>
      <c r="E125" s="2" t="s">
        <v>68</v>
      </c>
      <c r="F125" s="2" t="s">
        <v>69</v>
      </c>
      <c r="G125" s="9">
        <v>41061</v>
      </c>
      <c r="H125" s="9">
        <v>41256</v>
      </c>
      <c r="I125" s="9">
        <v>42551</v>
      </c>
      <c r="J125" s="45">
        <v>3.5472222222222221</v>
      </c>
      <c r="K125" s="9" t="s">
        <v>212</v>
      </c>
      <c r="L125" s="9" t="s">
        <v>70</v>
      </c>
      <c r="M125" s="2" t="s">
        <v>71</v>
      </c>
      <c r="N125" s="2" t="s">
        <v>779</v>
      </c>
      <c r="O125" s="2" t="s">
        <v>89</v>
      </c>
      <c r="P125" s="2" t="s">
        <v>164</v>
      </c>
      <c r="Q125" s="2" t="s">
        <v>75</v>
      </c>
      <c r="R125" s="2" t="s">
        <v>76</v>
      </c>
      <c r="S125" s="2" t="s">
        <v>77</v>
      </c>
      <c r="T125" s="2" t="s">
        <v>78</v>
      </c>
      <c r="U125" s="2" t="s">
        <v>79</v>
      </c>
      <c r="V125" s="2" t="s">
        <v>780</v>
      </c>
      <c r="W125" s="2" t="s">
        <v>81</v>
      </c>
      <c r="X125" s="2" t="s">
        <v>510</v>
      </c>
      <c r="Y125" s="2" t="s">
        <v>83</v>
      </c>
      <c r="Z125" s="2" t="s">
        <v>781</v>
      </c>
      <c r="AA125" s="2" t="s">
        <v>178</v>
      </c>
      <c r="AB125" s="26">
        <v>1</v>
      </c>
      <c r="AC125" s="26" t="s">
        <v>68</v>
      </c>
      <c r="AD125" s="26">
        <v>1658</v>
      </c>
      <c r="AE125" s="27">
        <v>4254615</v>
      </c>
    </row>
    <row r="126" spans="1:31" ht="409.5" x14ac:dyDescent="0.25">
      <c r="A126" s="10" t="s">
        <v>782</v>
      </c>
      <c r="B126" s="2" t="s">
        <v>119</v>
      </c>
      <c r="C126" s="2" t="s">
        <v>68</v>
      </c>
      <c r="D126" s="2" t="s">
        <v>68</v>
      </c>
      <c r="E126" s="2" t="s">
        <v>68</v>
      </c>
      <c r="F126" s="9" t="s">
        <v>69</v>
      </c>
      <c r="G126" s="9">
        <v>40664</v>
      </c>
      <c r="H126" s="9">
        <v>40909</v>
      </c>
      <c r="I126" s="9">
        <v>42705</v>
      </c>
      <c r="J126" s="45">
        <v>4.916666666666667</v>
      </c>
      <c r="K126" s="9" t="s">
        <v>70</v>
      </c>
      <c r="L126" s="9" t="s">
        <v>783</v>
      </c>
      <c r="M126" s="2" t="s">
        <v>71</v>
      </c>
      <c r="N126" s="2" t="s">
        <v>784</v>
      </c>
      <c r="O126" s="2" t="s">
        <v>103</v>
      </c>
      <c r="P126" s="2" t="s">
        <v>785</v>
      </c>
      <c r="Q126" s="2" t="s">
        <v>91</v>
      </c>
      <c r="R126" s="2" t="s">
        <v>92</v>
      </c>
      <c r="S126" s="2" t="s">
        <v>68</v>
      </c>
      <c r="T126" s="2" t="s">
        <v>78</v>
      </c>
      <c r="U126" s="2" t="s">
        <v>85</v>
      </c>
      <c r="V126" s="2" t="s">
        <v>786</v>
      </c>
      <c r="W126" s="2" t="s">
        <v>106</v>
      </c>
      <c r="X126" s="2" t="s">
        <v>787</v>
      </c>
      <c r="Y126" s="2" t="s">
        <v>127</v>
      </c>
      <c r="Z126" s="2" t="s">
        <v>788</v>
      </c>
      <c r="AA126" s="2" t="s">
        <v>83</v>
      </c>
      <c r="AB126" s="26">
        <v>8</v>
      </c>
      <c r="AC126" s="30">
        <v>11777</v>
      </c>
      <c r="AD126" s="30">
        <v>352421</v>
      </c>
      <c r="AE126" s="32">
        <f>13181+114167715</f>
        <v>114180896</v>
      </c>
    </row>
    <row r="127" spans="1:31" ht="60" x14ac:dyDescent="0.25">
      <c r="A127" s="10" t="s">
        <v>789</v>
      </c>
      <c r="B127" s="2" t="s">
        <v>65</v>
      </c>
      <c r="C127" s="2" t="s">
        <v>66</v>
      </c>
      <c r="D127" s="2" t="s">
        <v>137</v>
      </c>
      <c r="E127" s="2" t="s">
        <v>68</v>
      </c>
      <c r="F127" s="2" t="s">
        <v>69</v>
      </c>
      <c r="G127" s="9">
        <v>41061</v>
      </c>
      <c r="H127" s="9">
        <v>41225</v>
      </c>
      <c r="I127" s="9">
        <v>42185</v>
      </c>
      <c r="J127" s="45">
        <v>2.6333333333333333</v>
      </c>
      <c r="K127" s="9" t="s">
        <v>70</v>
      </c>
      <c r="L127" s="9" t="s">
        <v>70</v>
      </c>
      <c r="M127" s="2" t="s">
        <v>71</v>
      </c>
      <c r="N127" s="2" t="s">
        <v>790</v>
      </c>
      <c r="O127" s="2" t="s">
        <v>89</v>
      </c>
      <c r="P127" s="2" t="s">
        <v>791</v>
      </c>
      <c r="Q127" s="2" t="s">
        <v>75</v>
      </c>
      <c r="R127" s="2" t="s">
        <v>92</v>
      </c>
      <c r="S127" s="2" t="s">
        <v>77</v>
      </c>
      <c r="T127" s="2" t="s">
        <v>78</v>
      </c>
      <c r="U127" s="2" t="s">
        <v>79</v>
      </c>
      <c r="V127" s="2" t="s">
        <v>792</v>
      </c>
      <c r="W127" s="2" t="s">
        <v>81</v>
      </c>
      <c r="X127" s="2" t="s">
        <v>135</v>
      </c>
      <c r="Y127" s="2" t="s">
        <v>83</v>
      </c>
      <c r="Z127" s="2" t="s">
        <v>793</v>
      </c>
      <c r="AA127" s="2" t="s">
        <v>83</v>
      </c>
      <c r="AB127" s="26">
        <v>1</v>
      </c>
      <c r="AC127" s="26" t="s">
        <v>68</v>
      </c>
      <c r="AD127" s="26">
        <v>2413</v>
      </c>
      <c r="AE127" s="33">
        <v>4937191</v>
      </c>
    </row>
    <row r="128" spans="1:31" ht="75" x14ac:dyDescent="0.25">
      <c r="A128" s="10" t="s">
        <v>794</v>
      </c>
      <c r="B128" s="2" t="s">
        <v>65</v>
      </c>
      <c r="C128" s="2" t="s">
        <v>66</v>
      </c>
      <c r="D128" s="2" t="s">
        <v>137</v>
      </c>
      <c r="E128" s="2" t="s">
        <v>68</v>
      </c>
      <c r="F128" s="2" t="s">
        <v>69</v>
      </c>
      <c r="G128" s="9">
        <v>41061</v>
      </c>
      <c r="H128" s="9">
        <v>41240</v>
      </c>
      <c r="I128" s="9">
        <v>42551</v>
      </c>
      <c r="J128" s="45">
        <v>3.5916666666666668</v>
      </c>
      <c r="K128" s="9" t="s">
        <v>212</v>
      </c>
      <c r="L128" s="9" t="s">
        <v>70</v>
      </c>
      <c r="M128" s="2" t="s">
        <v>71</v>
      </c>
      <c r="N128" s="2" t="s">
        <v>795</v>
      </c>
      <c r="O128" s="2" t="s">
        <v>73</v>
      </c>
      <c r="P128" s="2" t="s">
        <v>763</v>
      </c>
      <c r="Q128" s="2" t="s">
        <v>75</v>
      </c>
      <c r="R128" s="2" t="s">
        <v>92</v>
      </c>
      <c r="S128" s="2" t="s">
        <v>77</v>
      </c>
      <c r="T128" s="2" t="s">
        <v>78</v>
      </c>
      <c r="U128" s="2" t="s">
        <v>79</v>
      </c>
      <c r="V128" s="2" t="s">
        <v>796</v>
      </c>
      <c r="W128" s="2" t="s">
        <v>81</v>
      </c>
      <c r="X128" s="2" t="s">
        <v>797</v>
      </c>
      <c r="Y128" s="2" t="s">
        <v>83</v>
      </c>
      <c r="Z128" s="2" t="s">
        <v>798</v>
      </c>
      <c r="AA128" s="2" t="s">
        <v>83</v>
      </c>
      <c r="AB128" s="26" t="s">
        <v>68</v>
      </c>
      <c r="AC128" s="26" t="s">
        <v>68</v>
      </c>
      <c r="AD128" s="26">
        <v>1803</v>
      </c>
      <c r="AE128" s="27">
        <v>5229706</v>
      </c>
    </row>
    <row r="129" spans="1:31" ht="120" x14ac:dyDescent="0.25">
      <c r="A129" s="52" t="s">
        <v>799</v>
      </c>
      <c r="B129" s="2" t="s">
        <v>65</v>
      </c>
      <c r="C129" s="2" t="s">
        <v>98</v>
      </c>
      <c r="D129" s="2" t="s">
        <v>68</v>
      </c>
      <c r="E129" s="2" t="s">
        <v>318</v>
      </c>
      <c r="F129" s="2" t="s">
        <v>100</v>
      </c>
      <c r="G129" s="9">
        <v>41395</v>
      </c>
      <c r="H129" s="9">
        <v>41883</v>
      </c>
      <c r="I129" s="9">
        <v>42614</v>
      </c>
      <c r="J129" s="45">
        <v>2</v>
      </c>
      <c r="K129" s="9" t="s">
        <v>70</v>
      </c>
      <c r="L129" s="9" t="s">
        <v>70</v>
      </c>
      <c r="M129" s="2" t="s">
        <v>71</v>
      </c>
      <c r="N129" s="2" t="s">
        <v>800</v>
      </c>
      <c r="O129" s="2" t="s">
        <v>89</v>
      </c>
      <c r="P129" s="2" t="s">
        <v>801</v>
      </c>
      <c r="Q129" s="2" t="s">
        <v>75</v>
      </c>
      <c r="R129" s="13" t="s">
        <v>92</v>
      </c>
      <c r="S129" s="2" t="s">
        <v>77</v>
      </c>
      <c r="T129" s="21" t="s">
        <v>70</v>
      </c>
      <c r="U129" s="2" t="s">
        <v>79</v>
      </c>
      <c r="V129" s="2" t="s">
        <v>802</v>
      </c>
      <c r="W129" s="2" t="s">
        <v>175</v>
      </c>
      <c r="X129" s="2" t="s">
        <v>803</v>
      </c>
      <c r="Y129" s="2" t="s">
        <v>83</v>
      </c>
      <c r="Z129" s="2" t="s">
        <v>803</v>
      </c>
      <c r="AA129" s="2" t="s">
        <v>83</v>
      </c>
      <c r="AB129" s="26">
        <v>8</v>
      </c>
      <c r="AC129" s="26" t="s">
        <v>68</v>
      </c>
      <c r="AD129" s="30">
        <v>16000</v>
      </c>
      <c r="AE129" s="31">
        <v>23808617</v>
      </c>
    </row>
    <row r="130" spans="1:31" ht="165" customHeight="1" x14ac:dyDescent="0.25">
      <c r="A130" s="10" t="s">
        <v>804</v>
      </c>
      <c r="B130" s="2" t="s">
        <v>294</v>
      </c>
      <c r="C130" s="2" t="s">
        <v>68</v>
      </c>
      <c r="D130" s="2" t="s">
        <v>68</v>
      </c>
      <c r="E130" s="2" t="s">
        <v>68</v>
      </c>
      <c r="F130" s="2" t="s">
        <v>100</v>
      </c>
      <c r="G130" s="9">
        <v>43831</v>
      </c>
      <c r="H130" s="9">
        <v>44197</v>
      </c>
      <c r="I130" s="9">
        <v>46022</v>
      </c>
      <c r="J130" s="45">
        <v>5</v>
      </c>
      <c r="K130" s="9" t="s">
        <v>88</v>
      </c>
      <c r="L130" s="9" t="s">
        <v>70</v>
      </c>
      <c r="M130" s="2" t="s">
        <v>71</v>
      </c>
      <c r="N130" s="2" t="s">
        <v>805</v>
      </c>
      <c r="O130" s="2" t="s">
        <v>103</v>
      </c>
      <c r="P130" s="2" t="s">
        <v>806</v>
      </c>
      <c r="Q130" s="2" t="s">
        <v>112</v>
      </c>
      <c r="R130" s="13" t="s">
        <v>76</v>
      </c>
      <c r="S130" s="2" t="s">
        <v>68</v>
      </c>
      <c r="T130" s="14" t="s">
        <v>103</v>
      </c>
      <c r="U130" s="2" t="s">
        <v>85</v>
      </c>
      <c r="V130" s="2" t="s">
        <v>807</v>
      </c>
      <c r="W130" s="2" t="s">
        <v>147</v>
      </c>
      <c r="X130" s="2" t="s">
        <v>147</v>
      </c>
      <c r="Y130" s="2" t="s">
        <v>147</v>
      </c>
      <c r="Z130" s="2" t="s">
        <v>147</v>
      </c>
      <c r="AA130" s="2" t="s">
        <v>147</v>
      </c>
      <c r="AB130" s="26">
        <v>916</v>
      </c>
      <c r="AC130" s="26" t="s">
        <v>88</v>
      </c>
      <c r="AD130" s="28" t="s">
        <v>88</v>
      </c>
      <c r="AE130" s="26" t="s">
        <v>79</v>
      </c>
    </row>
    <row r="131" spans="1:31" ht="75" x14ac:dyDescent="0.25">
      <c r="A131" s="10" t="s">
        <v>808</v>
      </c>
      <c r="B131" s="2" t="s">
        <v>119</v>
      </c>
      <c r="C131" s="2" t="s">
        <v>68</v>
      </c>
      <c r="D131" s="2" t="s">
        <v>68</v>
      </c>
      <c r="E131" s="2" t="s">
        <v>68</v>
      </c>
      <c r="F131" s="2" t="s">
        <v>69</v>
      </c>
      <c r="G131" s="9">
        <v>37104</v>
      </c>
      <c r="H131" s="9">
        <v>39264</v>
      </c>
      <c r="I131" s="9">
        <v>42339</v>
      </c>
      <c r="J131" s="45">
        <v>8.4166666666666661</v>
      </c>
      <c r="K131" s="9" t="s">
        <v>70</v>
      </c>
      <c r="L131" s="9" t="s">
        <v>70</v>
      </c>
      <c r="M131" s="2" t="s">
        <v>71</v>
      </c>
      <c r="N131" s="2" t="s">
        <v>809</v>
      </c>
      <c r="O131" s="2" t="s">
        <v>73</v>
      </c>
      <c r="P131" s="2" t="s">
        <v>754</v>
      </c>
      <c r="Q131" s="2" t="s">
        <v>75</v>
      </c>
      <c r="R131" s="2" t="s">
        <v>314</v>
      </c>
      <c r="S131" s="2" t="s">
        <v>166</v>
      </c>
      <c r="T131" s="22" t="s">
        <v>78</v>
      </c>
      <c r="U131" s="2" t="s">
        <v>79</v>
      </c>
      <c r="V131" s="2" t="s">
        <v>810</v>
      </c>
      <c r="W131" s="2" t="s">
        <v>106</v>
      </c>
      <c r="X131" s="2" t="s">
        <v>811</v>
      </c>
      <c r="Y131" s="23" t="s">
        <v>83</v>
      </c>
      <c r="Z131" s="2" t="s">
        <v>812</v>
      </c>
      <c r="AA131" s="2" t="s">
        <v>83</v>
      </c>
      <c r="AB131" s="26">
        <v>6</v>
      </c>
      <c r="AC131" s="26" t="s">
        <v>88</v>
      </c>
      <c r="AD131" s="26">
        <v>1088</v>
      </c>
      <c r="AE131" s="34" t="s">
        <v>88</v>
      </c>
    </row>
    <row r="132" spans="1:31" ht="135" x14ac:dyDescent="0.25">
      <c r="A132" s="10" t="s">
        <v>813</v>
      </c>
      <c r="B132" s="2" t="s">
        <v>65</v>
      </c>
      <c r="C132" s="2" t="s">
        <v>66</v>
      </c>
      <c r="D132" s="2" t="s">
        <v>171</v>
      </c>
      <c r="E132" s="2" t="s">
        <v>68</v>
      </c>
      <c r="F132" s="2" t="s">
        <v>69</v>
      </c>
      <c r="G132" s="9">
        <v>41061</v>
      </c>
      <c r="H132" s="9">
        <v>41091</v>
      </c>
      <c r="I132" s="9">
        <v>42156</v>
      </c>
      <c r="J132" s="45">
        <v>2.9166666666666665</v>
      </c>
      <c r="K132" s="9" t="s">
        <v>70</v>
      </c>
      <c r="L132" s="9" t="s">
        <v>70</v>
      </c>
      <c r="M132" s="2" t="s">
        <v>71</v>
      </c>
      <c r="N132" s="2" t="s">
        <v>288</v>
      </c>
      <c r="O132" s="2" t="s">
        <v>89</v>
      </c>
      <c r="P132" s="2" t="s">
        <v>814</v>
      </c>
      <c r="Q132" s="2" t="s">
        <v>75</v>
      </c>
      <c r="R132" s="13" t="s">
        <v>182</v>
      </c>
      <c r="S132" s="2" t="s">
        <v>93</v>
      </c>
      <c r="T132" s="24" t="s">
        <v>78</v>
      </c>
      <c r="U132" s="2" t="s">
        <v>79</v>
      </c>
      <c r="V132" s="2" t="s">
        <v>815</v>
      </c>
      <c r="W132" s="2" t="s">
        <v>81</v>
      </c>
      <c r="X132" s="2" t="s">
        <v>816</v>
      </c>
      <c r="Y132" s="2" t="s">
        <v>83</v>
      </c>
      <c r="Z132" s="2" t="s">
        <v>817</v>
      </c>
      <c r="AA132" s="2" t="s">
        <v>178</v>
      </c>
      <c r="AB132" s="26">
        <v>1</v>
      </c>
      <c r="AC132" s="26" t="s">
        <v>68</v>
      </c>
      <c r="AD132" s="26">
        <v>347</v>
      </c>
      <c r="AE132" s="29">
        <v>2571322</v>
      </c>
    </row>
    <row r="133" spans="1:31" ht="143.25" customHeight="1" x14ac:dyDescent="0.25">
      <c r="A133" s="10" t="s">
        <v>818</v>
      </c>
      <c r="B133" s="2" t="s">
        <v>65</v>
      </c>
      <c r="C133" s="2" t="s">
        <v>98</v>
      </c>
      <c r="D133" s="2" t="s">
        <v>68</v>
      </c>
      <c r="E133" s="49" t="s">
        <v>318</v>
      </c>
      <c r="F133" s="2" t="s">
        <v>100</v>
      </c>
      <c r="G133" s="9">
        <v>41395</v>
      </c>
      <c r="H133" s="9">
        <v>42019</v>
      </c>
      <c r="I133" s="9">
        <v>43159</v>
      </c>
      <c r="J133" s="45">
        <v>3.1194444444444445</v>
      </c>
      <c r="K133" s="9" t="s">
        <v>101</v>
      </c>
      <c r="L133" s="9" t="s">
        <v>70</v>
      </c>
      <c r="M133" s="2" t="s">
        <v>71</v>
      </c>
      <c r="N133" s="2" t="s">
        <v>819</v>
      </c>
      <c r="O133" s="2" t="s">
        <v>89</v>
      </c>
      <c r="P133" s="2" t="s">
        <v>189</v>
      </c>
      <c r="Q133" s="2" t="s">
        <v>75</v>
      </c>
      <c r="R133" s="2" t="s">
        <v>92</v>
      </c>
      <c r="S133" s="2" t="s">
        <v>77</v>
      </c>
      <c r="T133" s="21" t="s">
        <v>70</v>
      </c>
      <c r="U133" s="2" t="s">
        <v>79</v>
      </c>
      <c r="V133" s="2" t="s">
        <v>820</v>
      </c>
      <c r="W133" s="2" t="s">
        <v>106</v>
      </c>
      <c r="X133" s="2" t="s">
        <v>821</v>
      </c>
      <c r="Y133" s="2" t="s">
        <v>83</v>
      </c>
      <c r="Z133" s="2" t="s">
        <v>822</v>
      </c>
      <c r="AA133" s="2" t="s">
        <v>178</v>
      </c>
      <c r="AB133" s="26">
        <v>256</v>
      </c>
      <c r="AC133" s="26" t="s">
        <v>68</v>
      </c>
      <c r="AD133" s="30">
        <v>2775</v>
      </c>
      <c r="AE133" s="31">
        <v>9948459</v>
      </c>
    </row>
    <row r="134" spans="1:31" ht="168.75" customHeight="1" x14ac:dyDescent="0.25">
      <c r="A134" s="10" t="s">
        <v>823</v>
      </c>
      <c r="B134" s="2" t="s">
        <v>65</v>
      </c>
      <c r="C134" s="2" t="s">
        <v>66</v>
      </c>
      <c r="D134" s="2" t="s">
        <v>87</v>
      </c>
      <c r="E134" s="2" t="s">
        <v>68</v>
      </c>
      <c r="F134" s="2" t="s">
        <v>69</v>
      </c>
      <c r="G134" s="9">
        <v>41061</v>
      </c>
      <c r="H134" s="9">
        <v>41061</v>
      </c>
      <c r="I134" s="9">
        <v>42156</v>
      </c>
      <c r="J134" s="45">
        <v>3</v>
      </c>
      <c r="K134" s="9" t="s">
        <v>70</v>
      </c>
      <c r="L134" s="9" t="s">
        <v>70</v>
      </c>
      <c r="M134" s="2" t="s">
        <v>71</v>
      </c>
      <c r="N134" s="2" t="s">
        <v>824</v>
      </c>
      <c r="O134" s="2" t="s">
        <v>88</v>
      </c>
      <c r="P134" s="2" t="s">
        <v>825</v>
      </c>
      <c r="Q134" s="2" t="s">
        <v>91</v>
      </c>
      <c r="R134" s="2" t="s">
        <v>124</v>
      </c>
      <c r="S134" s="2" t="s">
        <v>77</v>
      </c>
      <c r="T134" s="2" t="s">
        <v>78</v>
      </c>
      <c r="U134" s="2" t="s">
        <v>79</v>
      </c>
      <c r="V134" s="2" t="s">
        <v>826</v>
      </c>
      <c r="W134" s="2" t="s">
        <v>81</v>
      </c>
      <c r="X134" s="2" t="s">
        <v>827</v>
      </c>
      <c r="Y134" s="2" t="s">
        <v>83</v>
      </c>
      <c r="Z134" s="2" t="s">
        <v>828</v>
      </c>
      <c r="AA134" s="2" t="s">
        <v>83</v>
      </c>
      <c r="AB134" s="26" t="s">
        <v>68</v>
      </c>
      <c r="AC134" s="26" t="s">
        <v>68</v>
      </c>
      <c r="AD134" s="26">
        <v>374</v>
      </c>
      <c r="AE134" s="29">
        <v>2977865</v>
      </c>
    </row>
    <row r="135" spans="1:31" ht="123" customHeight="1" x14ac:dyDescent="0.25">
      <c r="A135" s="10" t="s">
        <v>829</v>
      </c>
      <c r="B135" s="2" t="s">
        <v>65</v>
      </c>
      <c r="C135" s="2" t="s">
        <v>66</v>
      </c>
      <c r="D135" s="2" t="s">
        <v>67</v>
      </c>
      <c r="E135" s="2" t="s">
        <v>68</v>
      </c>
      <c r="F135" s="2" t="s">
        <v>69</v>
      </c>
      <c r="G135" s="9">
        <v>41061</v>
      </c>
      <c r="H135" s="9">
        <v>41275</v>
      </c>
      <c r="I135" s="9">
        <v>42185</v>
      </c>
      <c r="J135" s="45">
        <v>2.4972222222222222</v>
      </c>
      <c r="K135" s="9" t="s">
        <v>70</v>
      </c>
      <c r="L135" s="9" t="s">
        <v>70</v>
      </c>
      <c r="M135" s="2" t="s">
        <v>71</v>
      </c>
      <c r="N135" s="2" t="s">
        <v>830</v>
      </c>
      <c r="O135" s="2" t="s">
        <v>89</v>
      </c>
      <c r="P135" s="2" t="s">
        <v>831</v>
      </c>
      <c r="Q135" s="2" t="s">
        <v>75</v>
      </c>
      <c r="R135" s="2" t="s">
        <v>182</v>
      </c>
      <c r="S135" s="2" t="s">
        <v>77</v>
      </c>
      <c r="T135" s="2" t="s">
        <v>78</v>
      </c>
      <c r="U135" s="2" t="s">
        <v>79</v>
      </c>
      <c r="V135" s="2" t="s">
        <v>330</v>
      </c>
      <c r="W135" s="2" t="s">
        <v>81</v>
      </c>
      <c r="X135" s="2" t="s">
        <v>832</v>
      </c>
      <c r="Y135" s="2" t="s">
        <v>83</v>
      </c>
      <c r="Z135" s="2" t="s">
        <v>833</v>
      </c>
      <c r="AA135" s="2" t="s">
        <v>85</v>
      </c>
      <c r="AB135" s="26">
        <v>1</v>
      </c>
      <c r="AC135" s="26" t="s">
        <v>68</v>
      </c>
      <c r="AD135" s="26">
        <v>1016</v>
      </c>
      <c r="AE135" s="27">
        <v>1470017</v>
      </c>
    </row>
    <row r="136" spans="1:31" ht="75" x14ac:dyDescent="0.25">
      <c r="A136" s="10" t="s">
        <v>834</v>
      </c>
      <c r="B136" s="2" t="s">
        <v>65</v>
      </c>
      <c r="C136" s="2" t="s">
        <v>66</v>
      </c>
      <c r="D136" s="2" t="s">
        <v>187</v>
      </c>
      <c r="E136" s="2" t="s">
        <v>68</v>
      </c>
      <c r="F136" s="2" t="s">
        <v>69</v>
      </c>
      <c r="G136" s="9">
        <v>41061</v>
      </c>
      <c r="H136" s="9">
        <v>41275</v>
      </c>
      <c r="I136" s="9">
        <v>42185</v>
      </c>
      <c r="J136" s="45">
        <v>2.4972222222222222</v>
      </c>
      <c r="K136" s="9" t="s">
        <v>70</v>
      </c>
      <c r="L136" s="9" t="s">
        <v>70</v>
      </c>
      <c r="M136" s="2" t="s">
        <v>71</v>
      </c>
      <c r="N136" s="2" t="s">
        <v>835</v>
      </c>
      <c r="O136" s="2" t="s">
        <v>103</v>
      </c>
      <c r="P136" s="2" t="s">
        <v>831</v>
      </c>
      <c r="Q136" s="2" t="s">
        <v>75</v>
      </c>
      <c r="R136" s="2" t="s">
        <v>76</v>
      </c>
      <c r="S136" s="2" t="s">
        <v>104</v>
      </c>
      <c r="T136" s="2" t="s">
        <v>78</v>
      </c>
      <c r="U136" s="2" t="s">
        <v>79</v>
      </c>
      <c r="V136" s="2" t="s">
        <v>836</v>
      </c>
      <c r="W136" s="2" t="s">
        <v>81</v>
      </c>
      <c r="X136" s="2" t="s">
        <v>837</v>
      </c>
      <c r="Y136" s="2" t="s">
        <v>127</v>
      </c>
      <c r="Z136" s="2" t="s">
        <v>838</v>
      </c>
      <c r="AA136" s="2" t="s">
        <v>178</v>
      </c>
      <c r="AB136" s="26" t="s">
        <v>68</v>
      </c>
      <c r="AC136" s="26" t="s">
        <v>68</v>
      </c>
      <c r="AD136" s="26">
        <v>6662</v>
      </c>
      <c r="AE136" s="33">
        <v>1858437</v>
      </c>
    </row>
    <row r="137" spans="1:31" ht="125.25" customHeight="1" x14ac:dyDescent="0.25">
      <c r="A137" s="10" t="s">
        <v>839</v>
      </c>
      <c r="B137" s="2" t="s">
        <v>199</v>
      </c>
      <c r="C137" s="2" t="s">
        <v>68</v>
      </c>
      <c r="D137" s="2" t="s">
        <v>68</v>
      </c>
      <c r="E137" s="2" t="s">
        <v>68</v>
      </c>
      <c r="F137" s="2" t="s">
        <v>236</v>
      </c>
      <c r="G137" s="9">
        <v>43656</v>
      </c>
      <c r="H137" s="9">
        <v>44562</v>
      </c>
      <c r="I137" s="9">
        <v>45992</v>
      </c>
      <c r="J137" s="45">
        <v>3.9166666666666665</v>
      </c>
      <c r="K137" s="9" t="s">
        <v>70</v>
      </c>
      <c r="L137" s="9" t="s">
        <v>70</v>
      </c>
      <c r="M137" s="2" t="s">
        <v>120</v>
      </c>
      <c r="N137" s="2" t="s">
        <v>840</v>
      </c>
      <c r="O137" s="2" t="s">
        <v>103</v>
      </c>
      <c r="P137" s="2" t="s">
        <v>841</v>
      </c>
      <c r="Q137" s="2" t="s">
        <v>608</v>
      </c>
      <c r="R137" s="2" t="s">
        <v>92</v>
      </c>
      <c r="S137" s="2" t="s">
        <v>68</v>
      </c>
      <c r="T137" s="2" t="s">
        <v>133</v>
      </c>
      <c r="U137" s="2" t="s">
        <v>393</v>
      </c>
      <c r="V137" s="2" t="s">
        <v>842</v>
      </c>
      <c r="W137" s="2" t="s">
        <v>147</v>
      </c>
      <c r="X137" s="2" t="s">
        <v>147</v>
      </c>
      <c r="Y137" s="2" t="s">
        <v>147</v>
      </c>
      <c r="Z137" s="2" t="s">
        <v>147</v>
      </c>
      <c r="AA137" s="2" t="s">
        <v>147</v>
      </c>
      <c r="AB137" s="26" t="s">
        <v>79</v>
      </c>
      <c r="AC137" s="26" t="s">
        <v>79</v>
      </c>
      <c r="AD137" s="26" t="s">
        <v>79</v>
      </c>
      <c r="AE137" s="26" t="s">
        <v>79</v>
      </c>
    </row>
    <row r="138" spans="1:31" ht="120" x14ac:dyDescent="0.25">
      <c r="A138" s="10" t="s">
        <v>843</v>
      </c>
      <c r="B138" s="2" t="s">
        <v>65</v>
      </c>
      <c r="C138" s="2" t="s">
        <v>66</v>
      </c>
      <c r="D138" s="2" t="s">
        <v>324</v>
      </c>
      <c r="E138" s="2" t="s">
        <v>68</v>
      </c>
      <c r="F138" s="2" t="s">
        <v>69</v>
      </c>
      <c r="G138" s="9">
        <v>41061</v>
      </c>
      <c r="H138" s="9">
        <v>41061</v>
      </c>
      <c r="I138" s="9">
        <v>42185</v>
      </c>
      <c r="J138" s="45">
        <v>3.0805555555555557</v>
      </c>
      <c r="K138" s="9" t="s">
        <v>70</v>
      </c>
      <c r="L138" s="9" t="s">
        <v>70</v>
      </c>
      <c r="M138" s="2" t="s">
        <v>71</v>
      </c>
      <c r="N138" s="2" t="s">
        <v>172</v>
      </c>
      <c r="O138" s="2" t="s">
        <v>89</v>
      </c>
      <c r="P138" s="2" t="s">
        <v>844</v>
      </c>
      <c r="Q138" s="2" t="s">
        <v>75</v>
      </c>
      <c r="R138" s="2" t="s">
        <v>92</v>
      </c>
      <c r="S138" s="2" t="s">
        <v>68</v>
      </c>
      <c r="T138" s="2" t="s">
        <v>78</v>
      </c>
      <c r="U138" s="2" t="s">
        <v>85</v>
      </c>
      <c r="V138" s="2" t="s">
        <v>845</v>
      </c>
      <c r="W138" s="2" t="s">
        <v>81</v>
      </c>
      <c r="X138" s="2" t="s">
        <v>846</v>
      </c>
      <c r="Y138" s="2" t="s">
        <v>127</v>
      </c>
      <c r="Z138" s="2" t="s">
        <v>847</v>
      </c>
      <c r="AA138" s="2" t="s">
        <v>83</v>
      </c>
      <c r="AB138" s="26">
        <v>3</v>
      </c>
      <c r="AC138" s="26" t="s">
        <v>68</v>
      </c>
      <c r="AD138" s="30">
        <v>724</v>
      </c>
      <c r="AE138" s="29">
        <v>10748332</v>
      </c>
    </row>
    <row r="139" spans="1:31" ht="75" x14ac:dyDescent="0.25">
      <c r="A139" s="10" t="s">
        <v>848</v>
      </c>
      <c r="B139" s="2" t="s">
        <v>65</v>
      </c>
      <c r="C139" s="2" t="s">
        <v>66</v>
      </c>
      <c r="D139" s="2" t="s">
        <v>67</v>
      </c>
      <c r="E139" s="2" t="s">
        <v>68</v>
      </c>
      <c r="F139" s="2" t="s">
        <v>69</v>
      </c>
      <c r="G139" s="9">
        <v>41061</v>
      </c>
      <c r="H139" s="9">
        <v>41275</v>
      </c>
      <c r="I139" s="9">
        <v>42156</v>
      </c>
      <c r="J139" s="45">
        <v>2.4166666666666665</v>
      </c>
      <c r="K139" s="9" t="s">
        <v>70</v>
      </c>
      <c r="L139" s="9" t="s">
        <v>70</v>
      </c>
      <c r="M139" s="2" t="s">
        <v>71</v>
      </c>
      <c r="N139" s="2" t="s">
        <v>469</v>
      </c>
      <c r="O139" s="2" t="s">
        <v>89</v>
      </c>
      <c r="P139" s="2" t="s">
        <v>139</v>
      </c>
      <c r="Q139" s="2" t="s">
        <v>75</v>
      </c>
      <c r="R139" s="2" t="s">
        <v>76</v>
      </c>
      <c r="S139" s="2" t="s">
        <v>77</v>
      </c>
      <c r="T139" s="2" t="s">
        <v>78</v>
      </c>
      <c r="U139" s="2" t="s">
        <v>79</v>
      </c>
      <c r="V139" s="2" t="s">
        <v>849</v>
      </c>
      <c r="W139" s="2" t="s">
        <v>81</v>
      </c>
      <c r="X139" s="2" t="s">
        <v>850</v>
      </c>
      <c r="Y139" s="2" t="s">
        <v>83</v>
      </c>
      <c r="Z139" s="2" t="s">
        <v>851</v>
      </c>
      <c r="AA139" s="2" t="s">
        <v>85</v>
      </c>
      <c r="AB139" s="26">
        <v>1</v>
      </c>
      <c r="AC139" s="26" t="s">
        <v>68</v>
      </c>
      <c r="AD139" s="26">
        <v>3341</v>
      </c>
      <c r="AE139" s="27">
        <v>7302843</v>
      </c>
    </row>
    <row r="140" spans="1:31" ht="75" x14ac:dyDescent="0.25">
      <c r="A140" s="10" t="s">
        <v>852</v>
      </c>
      <c r="B140" s="2" t="s">
        <v>65</v>
      </c>
      <c r="C140" s="2" t="s">
        <v>66</v>
      </c>
      <c r="D140" s="2" t="s">
        <v>137</v>
      </c>
      <c r="E140" s="2" t="s">
        <v>68</v>
      </c>
      <c r="F140" s="2" t="s">
        <v>69</v>
      </c>
      <c r="G140" s="9">
        <v>41061</v>
      </c>
      <c r="H140" s="9">
        <v>41153</v>
      </c>
      <c r="I140" s="9">
        <v>42275</v>
      </c>
      <c r="J140" s="45">
        <v>3.0750000000000002</v>
      </c>
      <c r="K140" s="9" t="s">
        <v>70</v>
      </c>
      <c r="L140" s="9" t="s">
        <v>70</v>
      </c>
      <c r="M140" s="2" t="s">
        <v>71</v>
      </c>
      <c r="N140" s="2" t="s">
        <v>853</v>
      </c>
      <c r="O140" s="2" t="s">
        <v>89</v>
      </c>
      <c r="P140" s="2" t="s">
        <v>854</v>
      </c>
      <c r="Q140" s="2" t="s">
        <v>75</v>
      </c>
      <c r="R140" s="2" t="s">
        <v>76</v>
      </c>
      <c r="S140" s="2" t="s">
        <v>855</v>
      </c>
      <c r="T140" s="2" t="s">
        <v>78</v>
      </c>
      <c r="U140" s="2" t="s">
        <v>79</v>
      </c>
      <c r="V140" s="2" t="s">
        <v>856</v>
      </c>
      <c r="W140" s="2" t="s">
        <v>81</v>
      </c>
      <c r="X140" s="2" t="s">
        <v>857</v>
      </c>
      <c r="Y140" s="2" t="s">
        <v>68</v>
      </c>
      <c r="Z140" s="2" t="s">
        <v>857</v>
      </c>
      <c r="AA140" s="2" t="s">
        <v>68</v>
      </c>
      <c r="AB140" s="26">
        <v>7</v>
      </c>
      <c r="AC140" s="26" t="s">
        <v>68</v>
      </c>
      <c r="AD140" s="26">
        <v>15421</v>
      </c>
      <c r="AE140" s="27">
        <v>17337093</v>
      </c>
    </row>
    <row r="141" spans="1:31" ht="115.5" customHeight="1" x14ac:dyDescent="0.25">
      <c r="A141" s="10" t="s">
        <v>858</v>
      </c>
      <c r="B141" s="2" t="s">
        <v>65</v>
      </c>
      <c r="C141" s="2" t="s">
        <v>66</v>
      </c>
      <c r="D141" s="2" t="s">
        <v>137</v>
      </c>
      <c r="E141" s="2" t="s">
        <v>68</v>
      </c>
      <c r="F141" s="2" t="s">
        <v>69</v>
      </c>
      <c r="G141" s="9">
        <v>41061</v>
      </c>
      <c r="H141" s="9">
        <v>41291</v>
      </c>
      <c r="I141" s="9">
        <v>42185</v>
      </c>
      <c r="J141" s="45">
        <v>2.4527777777777779</v>
      </c>
      <c r="K141" s="9" t="s">
        <v>70</v>
      </c>
      <c r="L141" s="9" t="s">
        <v>70</v>
      </c>
      <c r="M141" s="2" t="s">
        <v>71</v>
      </c>
      <c r="N141" s="2" t="s">
        <v>859</v>
      </c>
      <c r="O141" s="2" t="s">
        <v>103</v>
      </c>
      <c r="P141" s="2" t="s">
        <v>690</v>
      </c>
      <c r="Q141" s="2" t="s">
        <v>75</v>
      </c>
      <c r="R141" s="2" t="s">
        <v>182</v>
      </c>
      <c r="S141" s="2" t="s">
        <v>68</v>
      </c>
      <c r="T141" s="2" t="s">
        <v>78</v>
      </c>
      <c r="U141" s="2" t="s">
        <v>88</v>
      </c>
      <c r="V141" s="2" t="s">
        <v>860</v>
      </c>
      <c r="W141" s="2" t="s">
        <v>81</v>
      </c>
      <c r="X141" s="2" t="s">
        <v>383</v>
      </c>
      <c r="Y141" s="2" t="s">
        <v>83</v>
      </c>
      <c r="Z141" s="2" t="s">
        <v>861</v>
      </c>
      <c r="AA141" s="2" t="s">
        <v>85</v>
      </c>
      <c r="AB141" s="26">
        <v>23</v>
      </c>
      <c r="AC141" s="26" t="s">
        <v>68</v>
      </c>
      <c r="AD141" s="26">
        <v>1691</v>
      </c>
      <c r="AE141" s="27">
        <v>2449241</v>
      </c>
    </row>
    <row r="142" spans="1:31" ht="105" x14ac:dyDescent="0.25">
      <c r="A142" s="10" t="s">
        <v>862</v>
      </c>
      <c r="B142" s="2" t="s">
        <v>65</v>
      </c>
      <c r="C142" s="2" t="s">
        <v>66</v>
      </c>
      <c r="D142" s="2" t="s">
        <v>324</v>
      </c>
      <c r="E142" s="2" t="s">
        <v>68</v>
      </c>
      <c r="F142" s="2" t="s">
        <v>69</v>
      </c>
      <c r="G142" s="9">
        <v>41061</v>
      </c>
      <c r="H142" s="9">
        <v>41061</v>
      </c>
      <c r="I142" s="9">
        <v>42185</v>
      </c>
      <c r="J142" s="45">
        <v>3.0805555555555557</v>
      </c>
      <c r="K142" s="9" t="s">
        <v>70</v>
      </c>
      <c r="L142" s="9" t="s">
        <v>70</v>
      </c>
      <c r="M142" s="2" t="s">
        <v>71</v>
      </c>
      <c r="N142" s="2" t="s">
        <v>863</v>
      </c>
      <c r="O142" s="2" t="s">
        <v>103</v>
      </c>
      <c r="P142" s="2" t="s">
        <v>864</v>
      </c>
      <c r="Q142" s="2" t="s">
        <v>91</v>
      </c>
      <c r="R142" s="2" t="s">
        <v>182</v>
      </c>
      <c r="S142" s="2" t="s">
        <v>68</v>
      </c>
      <c r="T142" s="2" t="s">
        <v>78</v>
      </c>
      <c r="U142" s="2" t="s">
        <v>79</v>
      </c>
      <c r="V142" s="2" t="s">
        <v>865</v>
      </c>
      <c r="W142" s="2" t="s">
        <v>81</v>
      </c>
      <c r="X142" s="2" t="s">
        <v>866</v>
      </c>
      <c r="Y142" s="2" t="s">
        <v>85</v>
      </c>
      <c r="Z142" s="2" t="s">
        <v>867</v>
      </c>
      <c r="AA142" s="2" t="s">
        <v>83</v>
      </c>
      <c r="AB142" s="26">
        <v>13</v>
      </c>
      <c r="AC142" s="26" t="s">
        <v>68</v>
      </c>
      <c r="AD142" s="28" t="s">
        <v>88</v>
      </c>
      <c r="AE142" s="33">
        <v>1600322</v>
      </c>
    </row>
    <row r="143" spans="1:31" ht="87.75" customHeight="1" x14ac:dyDescent="0.25">
      <c r="A143" s="10" t="s">
        <v>868</v>
      </c>
      <c r="B143" s="2" t="s">
        <v>65</v>
      </c>
      <c r="C143" s="2" t="s">
        <v>98</v>
      </c>
      <c r="D143" s="2" t="s">
        <v>68</v>
      </c>
      <c r="E143" s="2" t="s">
        <v>155</v>
      </c>
      <c r="F143" s="2" t="s">
        <v>100</v>
      </c>
      <c r="G143" s="9">
        <v>41395</v>
      </c>
      <c r="H143" s="9">
        <v>42088</v>
      </c>
      <c r="I143" s="9">
        <v>42979</v>
      </c>
      <c r="J143" s="45">
        <v>2.4333333333333331</v>
      </c>
      <c r="K143" s="9" t="s">
        <v>70</v>
      </c>
      <c r="L143" s="9" t="s">
        <v>70</v>
      </c>
      <c r="M143" s="2" t="s">
        <v>71</v>
      </c>
      <c r="N143" s="2" t="s">
        <v>869</v>
      </c>
      <c r="O143" s="2" t="s">
        <v>89</v>
      </c>
      <c r="P143" s="2" t="s">
        <v>870</v>
      </c>
      <c r="Q143" s="2" t="s">
        <v>75</v>
      </c>
      <c r="R143" s="2" t="s">
        <v>92</v>
      </c>
      <c r="S143" s="2" t="s">
        <v>68</v>
      </c>
      <c r="T143" s="2" t="s">
        <v>70</v>
      </c>
      <c r="U143" s="2" t="s">
        <v>79</v>
      </c>
      <c r="V143" s="2" t="s">
        <v>871</v>
      </c>
      <c r="W143" s="2" t="s">
        <v>106</v>
      </c>
      <c r="X143" s="2" t="s">
        <v>872</v>
      </c>
      <c r="Y143" s="2" t="s">
        <v>83</v>
      </c>
      <c r="Z143" s="2" t="s">
        <v>873</v>
      </c>
      <c r="AA143" s="2" t="s">
        <v>83</v>
      </c>
      <c r="AB143" s="26" t="s">
        <v>68</v>
      </c>
      <c r="AC143" s="26" t="s">
        <v>68</v>
      </c>
      <c r="AD143" s="30">
        <v>5222</v>
      </c>
      <c r="AE143" s="31">
        <v>7159976</v>
      </c>
    </row>
    <row r="144" spans="1:31" ht="135" x14ac:dyDescent="0.25">
      <c r="A144" s="10" t="s">
        <v>874</v>
      </c>
      <c r="B144" s="2" t="s">
        <v>65</v>
      </c>
      <c r="C144" s="2" t="s">
        <v>66</v>
      </c>
      <c r="D144" s="2" t="s">
        <v>171</v>
      </c>
      <c r="E144" s="2" t="s">
        <v>68</v>
      </c>
      <c r="F144" s="2" t="s">
        <v>69</v>
      </c>
      <c r="G144" s="9">
        <v>41061</v>
      </c>
      <c r="H144" s="9">
        <v>41183</v>
      </c>
      <c r="I144" s="9">
        <v>42156</v>
      </c>
      <c r="J144" s="45">
        <v>2.6666666666666665</v>
      </c>
      <c r="K144" s="9" t="s">
        <v>70</v>
      </c>
      <c r="L144" s="9" t="s">
        <v>70</v>
      </c>
      <c r="M144" s="2" t="s">
        <v>71</v>
      </c>
      <c r="N144" s="2" t="s">
        <v>875</v>
      </c>
      <c r="O144" s="2" t="s">
        <v>73</v>
      </c>
      <c r="P144" s="2" t="s">
        <v>876</v>
      </c>
      <c r="Q144" s="2" t="s">
        <v>75</v>
      </c>
      <c r="R144" s="2" t="s">
        <v>76</v>
      </c>
      <c r="S144" s="2" t="s">
        <v>77</v>
      </c>
      <c r="T144" s="2" t="s">
        <v>78</v>
      </c>
      <c r="U144" s="2" t="s">
        <v>79</v>
      </c>
      <c r="V144" s="2" t="s">
        <v>877</v>
      </c>
      <c r="W144" s="2" t="s">
        <v>81</v>
      </c>
      <c r="X144" s="2" t="s">
        <v>878</v>
      </c>
      <c r="Y144" s="2" t="s">
        <v>83</v>
      </c>
      <c r="Z144" s="2" t="s">
        <v>879</v>
      </c>
      <c r="AA144" s="2" t="s">
        <v>178</v>
      </c>
      <c r="AB144" s="26">
        <v>4</v>
      </c>
      <c r="AC144" s="26" t="s">
        <v>68</v>
      </c>
      <c r="AD144" s="26">
        <v>376</v>
      </c>
      <c r="AE144" s="30">
        <v>1186045</v>
      </c>
    </row>
    <row r="145" spans="1:31" ht="104.25" customHeight="1" x14ac:dyDescent="0.25">
      <c r="A145" s="10" t="s">
        <v>880</v>
      </c>
      <c r="B145" s="2" t="s">
        <v>65</v>
      </c>
      <c r="C145" s="2" t="s">
        <v>66</v>
      </c>
      <c r="D145" s="2" t="s">
        <v>67</v>
      </c>
      <c r="E145" s="2" t="s">
        <v>68</v>
      </c>
      <c r="F145" s="2" t="s">
        <v>69</v>
      </c>
      <c r="G145" s="9">
        <v>41061</v>
      </c>
      <c r="H145" s="9">
        <v>41253</v>
      </c>
      <c r="I145" s="9">
        <v>42551</v>
      </c>
      <c r="J145" s="45">
        <v>3.5555555555555554</v>
      </c>
      <c r="K145" s="9" t="s">
        <v>212</v>
      </c>
      <c r="L145" s="9" t="s">
        <v>70</v>
      </c>
      <c r="M145" s="2" t="s">
        <v>71</v>
      </c>
      <c r="N145" s="2" t="s">
        <v>881</v>
      </c>
      <c r="O145" s="2" t="s">
        <v>89</v>
      </c>
      <c r="P145" s="2" t="s">
        <v>882</v>
      </c>
      <c r="Q145" s="2" t="s">
        <v>75</v>
      </c>
      <c r="R145" s="2" t="s">
        <v>92</v>
      </c>
      <c r="S145" s="2" t="s">
        <v>68</v>
      </c>
      <c r="T145" s="2" t="s">
        <v>78</v>
      </c>
      <c r="U145" s="2" t="s">
        <v>79</v>
      </c>
      <c r="V145" s="2" t="s">
        <v>883</v>
      </c>
      <c r="W145" s="2" t="s">
        <v>81</v>
      </c>
      <c r="X145" s="2" t="s">
        <v>884</v>
      </c>
      <c r="Y145" s="2" t="s">
        <v>85</v>
      </c>
      <c r="Z145" s="2" t="s">
        <v>885</v>
      </c>
      <c r="AA145" s="2" t="s">
        <v>178</v>
      </c>
      <c r="AB145" s="26" t="s">
        <v>68</v>
      </c>
      <c r="AC145" s="26" t="s">
        <v>68</v>
      </c>
      <c r="AD145" s="26">
        <v>20593</v>
      </c>
      <c r="AE145" s="33">
        <v>10824025</v>
      </c>
    </row>
    <row r="146" spans="1:31" ht="90" x14ac:dyDescent="0.25">
      <c r="A146" s="10" t="s">
        <v>886</v>
      </c>
      <c r="B146" s="2" t="s">
        <v>65</v>
      </c>
      <c r="C146" s="2" t="s">
        <v>68</v>
      </c>
      <c r="D146" s="2" t="s">
        <v>68</v>
      </c>
      <c r="E146" s="2" t="s">
        <v>68</v>
      </c>
      <c r="F146" s="2" t="s">
        <v>69</v>
      </c>
      <c r="G146" s="9" t="s">
        <v>147</v>
      </c>
      <c r="H146" s="9">
        <v>41974</v>
      </c>
      <c r="I146" s="9">
        <v>44166</v>
      </c>
      <c r="J146" s="45">
        <v>6</v>
      </c>
      <c r="K146" s="9" t="s">
        <v>101</v>
      </c>
      <c r="L146" s="9" t="s">
        <v>887</v>
      </c>
      <c r="M146" s="2" t="s">
        <v>71</v>
      </c>
      <c r="N146" s="2" t="s">
        <v>888</v>
      </c>
      <c r="O146" s="2" t="s">
        <v>103</v>
      </c>
      <c r="P146" s="2" t="s">
        <v>201</v>
      </c>
      <c r="Q146" s="2" t="s">
        <v>132</v>
      </c>
      <c r="R146" s="2" t="s">
        <v>76</v>
      </c>
      <c r="S146" s="2" t="s">
        <v>68</v>
      </c>
      <c r="T146" s="2" t="s">
        <v>78</v>
      </c>
      <c r="U146" s="2" t="s">
        <v>79</v>
      </c>
      <c r="V146" s="2" t="s">
        <v>889</v>
      </c>
      <c r="W146" s="2" t="s">
        <v>175</v>
      </c>
      <c r="X146" s="2" t="s">
        <v>890</v>
      </c>
      <c r="Y146" s="2" t="s">
        <v>85</v>
      </c>
      <c r="Z146" s="2" t="s">
        <v>891</v>
      </c>
      <c r="AA146" s="2" t="s">
        <v>83</v>
      </c>
      <c r="AB146" s="26">
        <v>9</v>
      </c>
      <c r="AC146" s="28">
        <v>3093</v>
      </c>
      <c r="AD146" s="28">
        <v>540392</v>
      </c>
      <c r="AE146" s="26" t="s">
        <v>68</v>
      </c>
    </row>
    <row r="147" spans="1:31" ht="83.25" customHeight="1" x14ac:dyDescent="0.25">
      <c r="A147" s="10" t="s">
        <v>892</v>
      </c>
      <c r="B147" s="2" t="s">
        <v>65</v>
      </c>
      <c r="C147" s="2" t="s">
        <v>66</v>
      </c>
      <c r="D147" s="2" t="s">
        <v>87</v>
      </c>
      <c r="E147" s="2" t="s">
        <v>68</v>
      </c>
      <c r="F147" s="2" t="s">
        <v>69</v>
      </c>
      <c r="G147" s="9">
        <v>41061</v>
      </c>
      <c r="H147" s="9">
        <v>41061</v>
      </c>
      <c r="I147" s="9">
        <v>42156</v>
      </c>
      <c r="J147" s="45">
        <v>3</v>
      </c>
      <c r="K147" s="9" t="s">
        <v>70</v>
      </c>
      <c r="L147" s="9" t="s">
        <v>70</v>
      </c>
      <c r="M147" s="2" t="s">
        <v>71</v>
      </c>
      <c r="N147" s="2" t="s">
        <v>893</v>
      </c>
      <c r="O147" s="2" t="s">
        <v>88</v>
      </c>
      <c r="P147" s="2" t="s">
        <v>894</v>
      </c>
      <c r="Q147" s="2" t="s">
        <v>75</v>
      </c>
      <c r="R147" s="2" t="s">
        <v>314</v>
      </c>
      <c r="S147" s="2" t="s">
        <v>77</v>
      </c>
      <c r="T147" s="2" t="s">
        <v>78</v>
      </c>
      <c r="U147" s="2" t="s">
        <v>79</v>
      </c>
      <c r="V147" s="2" t="s">
        <v>895</v>
      </c>
      <c r="W147" s="2" t="s">
        <v>81</v>
      </c>
      <c r="X147" s="2" t="s">
        <v>510</v>
      </c>
      <c r="Y147" s="2" t="s">
        <v>83</v>
      </c>
      <c r="Z147" s="2" t="s">
        <v>896</v>
      </c>
      <c r="AA147" s="2" t="s">
        <v>83</v>
      </c>
      <c r="AB147" s="26" t="s">
        <v>68</v>
      </c>
      <c r="AC147" s="30">
        <v>1200</v>
      </c>
      <c r="AD147" s="30">
        <v>38381</v>
      </c>
      <c r="AE147" s="29">
        <v>4165191</v>
      </c>
    </row>
    <row r="148" spans="1:31" ht="120" x14ac:dyDescent="0.25">
      <c r="A148" s="10" t="s">
        <v>897</v>
      </c>
      <c r="B148" s="2" t="s">
        <v>65</v>
      </c>
      <c r="C148" s="2" t="s">
        <v>98</v>
      </c>
      <c r="D148" s="2" t="s">
        <v>68</v>
      </c>
      <c r="E148" s="2" t="s">
        <v>370</v>
      </c>
      <c r="F148" s="2" t="s">
        <v>100</v>
      </c>
      <c r="G148" s="9">
        <v>41395</v>
      </c>
      <c r="H148" s="9">
        <v>42064</v>
      </c>
      <c r="I148" s="9">
        <v>42979</v>
      </c>
      <c r="J148" s="45">
        <v>2.5</v>
      </c>
      <c r="K148" s="9" t="s">
        <v>70</v>
      </c>
      <c r="L148" s="9" t="s">
        <v>70</v>
      </c>
      <c r="M148" s="2" t="s">
        <v>71</v>
      </c>
      <c r="N148" s="2" t="s">
        <v>898</v>
      </c>
      <c r="O148" s="2" t="s">
        <v>73</v>
      </c>
      <c r="P148" s="2" t="s">
        <v>899</v>
      </c>
      <c r="Q148" s="2" t="s">
        <v>75</v>
      </c>
      <c r="R148" s="2" t="s">
        <v>92</v>
      </c>
      <c r="S148" s="2" t="s">
        <v>68</v>
      </c>
      <c r="T148" s="2" t="s">
        <v>70</v>
      </c>
      <c r="U148" s="2" t="s">
        <v>79</v>
      </c>
      <c r="V148" s="2" t="s">
        <v>900</v>
      </c>
      <c r="W148" s="2" t="s">
        <v>106</v>
      </c>
      <c r="X148" s="2" t="s">
        <v>901</v>
      </c>
      <c r="Y148" s="2" t="s">
        <v>83</v>
      </c>
      <c r="Z148" s="2" t="s">
        <v>902</v>
      </c>
      <c r="AA148" s="2" t="s">
        <v>83</v>
      </c>
      <c r="AB148" s="26">
        <v>87</v>
      </c>
      <c r="AC148" s="26" t="s">
        <v>68</v>
      </c>
      <c r="AD148" s="30">
        <v>7334</v>
      </c>
      <c r="AE148" s="31">
        <v>12523441</v>
      </c>
    </row>
    <row r="149" spans="1:31" ht="113.25" customHeight="1" x14ac:dyDescent="0.25">
      <c r="A149" s="10" t="s">
        <v>903</v>
      </c>
      <c r="B149" s="2" t="s">
        <v>65</v>
      </c>
      <c r="C149" s="2" t="s">
        <v>68</v>
      </c>
      <c r="D149" s="2" t="s">
        <v>68</v>
      </c>
      <c r="E149" s="2" t="s">
        <v>68</v>
      </c>
      <c r="F149" s="2" t="s">
        <v>100</v>
      </c>
      <c r="G149" s="9">
        <v>37773</v>
      </c>
      <c r="H149" s="9">
        <v>37987</v>
      </c>
      <c r="I149" s="9">
        <v>44531</v>
      </c>
      <c r="J149" s="45">
        <v>17.916666666666668</v>
      </c>
      <c r="K149" s="9" t="s">
        <v>101</v>
      </c>
      <c r="L149" s="9" t="s">
        <v>70</v>
      </c>
      <c r="M149" s="2" t="s">
        <v>120</v>
      </c>
      <c r="N149" s="2" t="s">
        <v>904</v>
      </c>
      <c r="O149" s="2" t="s">
        <v>103</v>
      </c>
      <c r="P149" s="2" t="s">
        <v>905</v>
      </c>
      <c r="Q149" s="2" t="s">
        <v>256</v>
      </c>
      <c r="R149" s="2" t="s">
        <v>182</v>
      </c>
      <c r="S149" s="2" t="s">
        <v>68</v>
      </c>
      <c r="T149" s="2" t="s">
        <v>78</v>
      </c>
      <c r="U149" s="2" t="s">
        <v>79</v>
      </c>
      <c r="V149" s="2" t="s">
        <v>906</v>
      </c>
      <c r="W149" s="2" t="s">
        <v>477</v>
      </c>
      <c r="X149" s="2" t="s">
        <v>907</v>
      </c>
      <c r="Y149" s="2" t="s">
        <v>204</v>
      </c>
      <c r="Z149" s="2" t="s">
        <v>908</v>
      </c>
      <c r="AA149" s="2" t="s">
        <v>83</v>
      </c>
      <c r="AB149" s="26">
        <v>28</v>
      </c>
      <c r="AC149" s="26" t="s">
        <v>68</v>
      </c>
      <c r="AD149" s="26" t="s">
        <v>68</v>
      </c>
      <c r="AE149" s="26" t="s">
        <v>68</v>
      </c>
    </row>
    <row r="150" spans="1:31" ht="105" x14ac:dyDescent="0.25">
      <c r="A150" s="10" t="s">
        <v>909</v>
      </c>
      <c r="B150" s="2" t="s">
        <v>65</v>
      </c>
      <c r="C150" s="2" t="s">
        <v>98</v>
      </c>
      <c r="D150" s="2" t="s">
        <v>68</v>
      </c>
      <c r="E150" s="2" t="s">
        <v>370</v>
      </c>
      <c r="F150" s="2" t="s">
        <v>100</v>
      </c>
      <c r="G150" s="9">
        <v>41395</v>
      </c>
      <c r="H150" s="9">
        <v>42005</v>
      </c>
      <c r="I150" s="9">
        <v>42979</v>
      </c>
      <c r="J150" s="45">
        <v>2.6666666666666665</v>
      </c>
      <c r="K150" s="9" t="s">
        <v>70</v>
      </c>
      <c r="L150" s="9" t="s">
        <v>70</v>
      </c>
      <c r="M150" s="2" t="s">
        <v>71</v>
      </c>
      <c r="N150" s="2" t="s">
        <v>910</v>
      </c>
      <c r="O150" s="2" t="s">
        <v>89</v>
      </c>
      <c r="P150" s="2" t="s">
        <v>139</v>
      </c>
      <c r="Q150" s="2" t="s">
        <v>75</v>
      </c>
      <c r="R150" s="2" t="s">
        <v>76</v>
      </c>
      <c r="S150" s="2" t="s">
        <v>77</v>
      </c>
      <c r="T150" s="2" t="s">
        <v>70</v>
      </c>
      <c r="U150" s="2" t="s">
        <v>79</v>
      </c>
      <c r="V150" s="2" t="s">
        <v>911</v>
      </c>
      <c r="W150" s="2" t="s">
        <v>106</v>
      </c>
      <c r="X150" s="2" t="s">
        <v>912</v>
      </c>
      <c r="Y150" s="2" t="s">
        <v>83</v>
      </c>
      <c r="Z150" s="2" t="s">
        <v>913</v>
      </c>
      <c r="AA150" s="2" t="s">
        <v>83</v>
      </c>
      <c r="AB150" s="26" t="s">
        <v>68</v>
      </c>
      <c r="AC150" s="26" t="s">
        <v>68</v>
      </c>
      <c r="AD150" s="30">
        <v>4158</v>
      </c>
      <c r="AE150" s="31">
        <v>5820416</v>
      </c>
    </row>
    <row r="151" spans="1:31" ht="120" x14ac:dyDescent="0.25">
      <c r="A151" s="10" t="s">
        <v>914</v>
      </c>
      <c r="B151" s="2" t="s">
        <v>65</v>
      </c>
      <c r="C151" s="2" t="s">
        <v>66</v>
      </c>
      <c r="D151" s="2" t="s">
        <v>162</v>
      </c>
      <c r="E151" s="2" t="s">
        <v>68</v>
      </c>
      <c r="F151" s="2" t="s">
        <v>69</v>
      </c>
      <c r="G151" s="9">
        <v>41061</v>
      </c>
      <c r="H151" s="9">
        <v>41365</v>
      </c>
      <c r="I151" s="9">
        <v>42185</v>
      </c>
      <c r="J151" s="45">
        <v>2.2472222222222222</v>
      </c>
      <c r="K151" s="9" t="s">
        <v>70</v>
      </c>
      <c r="L151" s="9" t="s">
        <v>70</v>
      </c>
      <c r="M151" s="2" t="s">
        <v>71</v>
      </c>
      <c r="N151" s="2" t="s">
        <v>915</v>
      </c>
      <c r="O151" s="2" t="s">
        <v>85</v>
      </c>
      <c r="P151" s="2" t="s">
        <v>916</v>
      </c>
      <c r="Q151" s="2" t="s">
        <v>91</v>
      </c>
      <c r="R151" s="2" t="s">
        <v>76</v>
      </c>
      <c r="S151" s="2" t="s">
        <v>104</v>
      </c>
      <c r="T151" s="2" t="s">
        <v>78</v>
      </c>
      <c r="U151" s="2" t="s">
        <v>79</v>
      </c>
      <c r="V151" s="2" t="s">
        <v>917</v>
      </c>
      <c r="W151" s="2" t="s">
        <v>175</v>
      </c>
      <c r="X151" s="2" t="s">
        <v>918</v>
      </c>
      <c r="Y151" s="2" t="s">
        <v>83</v>
      </c>
      <c r="Z151" s="2" t="s">
        <v>919</v>
      </c>
      <c r="AA151" s="2" t="s">
        <v>85</v>
      </c>
      <c r="AB151" s="26">
        <v>33</v>
      </c>
      <c r="AC151" s="26" t="s">
        <v>68</v>
      </c>
      <c r="AD151" s="26">
        <v>18238</v>
      </c>
      <c r="AE151" s="29">
        <v>12142606</v>
      </c>
    </row>
    <row r="152" spans="1:31" ht="165" x14ac:dyDescent="0.25">
      <c r="A152" s="10" t="s">
        <v>920</v>
      </c>
      <c r="B152" s="2" t="s">
        <v>65</v>
      </c>
      <c r="C152" s="2" t="s">
        <v>66</v>
      </c>
      <c r="D152" s="2" t="s">
        <v>324</v>
      </c>
      <c r="E152" s="2" t="s">
        <v>68</v>
      </c>
      <c r="F152" s="2" t="s">
        <v>69</v>
      </c>
      <c r="G152" s="9">
        <v>41061</v>
      </c>
      <c r="H152" s="9">
        <v>41061</v>
      </c>
      <c r="I152" s="9">
        <v>42551</v>
      </c>
      <c r="J152" s="45">
        <v>4.0805555555555557</v>
      </c>
      <c r="K152" s="9" t="s">
        <v>101</v>
      </c>
      <c r="L152" s="9" t="s">
        <v>70</v>
      </c>
      <c r="M152" s="2" t="s">
        <v>71</v>
      </c>
      <c r="N152" s="2" t="s">
        <v>921</v>
      </c>
      <c r="O152" s="2" t="s">
        <v>89</v>
      </c>
      <c r="P152" s="2" t="s">
        <v>340</v>
      </c>
      <c r="Q152" s="2" t="s">
        <v>75</v>
      </c>
      <c r="R152" s="2" t="s">
        <v>182</v>
      </c>
      <c r="S152" s="2" t="s">
        <v>77</v>
      </c>
      <c r="T152" s="2" t="s">
        <v>78</v>
      </c>
      <c r="U152" s="2" t="s">
        <v>79</v>
      </c>
      <c r="V152" s="2" t="s">
        <v>922</v>
      </c>
      <c r="W152" s="2" t="s">
        <v>81</v>
      </c>
      <c r="X152" s="2" t="s">
        <v>923</v>
      </c>
      <c r="Y152" s="2" t="s">
        <v>83</v>
      </c>
      <c r="Z152" s="2" t="s">
        <v>924</v>
      </c>
      <c r="AA152" s="2" t="s">
        <v>83</v>
      </c>
      <c r="AB152" s="26" t="s">
        <v>88</v>
      </c>
      <c r="AC152" s="26" t="s">
        <v>68</v>
      </c>
      <c r="AD152" s="30">
        <v>685</v>
      </c>
      <c r="AE152" s="33">
        <v>14365591</v>
      </c>
    </row>
    <row r="153" spans="1:31" ht="180" x14ac:dyDescent="0.25">
      <c r="A153" s="10" t="s">
        <v>925</v>
      </c>
      <c r="B153" s="2" t="s">
        <v>65</v>
      </c>
      <c r="C153" s="2" t="s">
        <v>66</v>
      </c>
      <c r="D153" s="2" t="s">
        <v>385</v>
      </c>
      <c r="E153" s="2" t="s">
        <v>68</v>
      </c>
      <c r="F153" s="2" t="s">
        <v>69</v>
      </c>
      <c r="G153" s="9">
        <v>41061</v>
      </c>
      <c r="H153" s="9">
        <v>41091</v>
      </c>
      <c r="I153" s="9">
        <v>42369</v>
      </c>
      <c r="J153" s="45">
        <v>3.5</v>
      </c>
      <c r="K153" s="9" t="s">
        <v>101</v>
      </c>
      <c r="L153" s="9" t="s">
        <v>70</v>
      </c>
      <c r="M153" s="2" t="s">
        <v>71</v>
      </c>
      <c r="N153" s="2" t="s">
        <v>926</v>
      </c>
      <c r="O153" s="2" t="s">
        <v>88</v>
      </c>
      <c r="P153" s="2" t="s">
        <v>927</v>
      </c>
      <c r="Q153" s="2" t="s">
        <v>91</v>
      </c>
      <c r="R153" s="2" t="s">
        <v>417</v>
      </c>
      <c r="S153" s="2" t="s">
        <v>68</v>
      </c>
      <c r="T153" s="2" t="s">
        <v>78</v>
      </c>
      <c r="U153" s="2" t="s">
        <v>79</v>
      </c>
      <c r="V153" s="2" t="s">
        <v>928</v>
      </c>
      <c r="W153" s="2" t="s">
        <v>81</v>
      </c>
      <c r="X153" s="2" t="s">
        <v>929</v>
      </c>
      <c r="Y153" s="2" t="s">
        <v>85</v>
      </c>
      <c r="Z153" s="2" t="s">
        <v>930</v>
      </c>
      <c r="AA153" s="2" t="s">
        <v>85</v>
      </c>
      <c r="AB153" s="26" t="s">
        <v>68</v>
      </c>
      <c r="AC153" s="26">
        <v>3</v>
      </c>
      <c r="AD153" s="30">
        <v>252792</v>
      </c>
      <c r="AE153" s="29">
        <v>6767008</v>
      </c>
    </row>
    <row r="154" spans="1:31" ht="97.5" customHeight="1" x14ac:dyDescent="0.25">
      <c r="A154" s="10" t="s">
        <v>931</v>
      </c>
      <c r="B154" s="2" t="s">
        <v>65</v>
      </c>
      <c r="C154" s="2" t="s">
        <v>98</v>
      </c>
      <c r="D154" s="2" t="s">
        <v>68</v>
      </c>
      <c r="E154" s="2" t="s">
        <v>318</v>
      </c>
      <c r="F154" s="2" t="s">
        <v>100</v>
      </c>
      <c r="G154" s="9">
        <v>41395</v>
      </c>
      <c r="H154" s="9">
        <v>41944</v>
      </c>
      <c r="I154" s="9">
        <v>42979</v>
      </c>
      <c r="J154" s="45">
        <v>2.8333333333333335</v>
      </c>
      <c r="K154" s="9" t="s">
        <v>70</v>
      </c>
      <c r="L154" s="9" t="s">
        <v>70</v>
      </c>
      <c r="M154" s="2" t="s">
        <v>71</v>
      </c>
      <c r="N154" s="2" t="s">
        <v>932</v>
      </c>
      <c r="O154" s="2" t="s">
        <v>103</v>
      </c>
      <c r="P154" s="2" t="s">
        <v>933</v>
      </c>
      <c r="Q154" s="2" t="s">
        <v>91</v>
      </c>
      <c r="R154" s="2" t="s">
        <v>92</v>
      </c>
      <c r="S154" s="2" t="s">
        <v>68</v>
      </c>
      <c r="T154" s="2" t="s">
        <v>70</v>
      </c>
      <c r="U154" s="2" t="s">
        <v>79</v>
      </c>
      <c r="V154" s="2" t="s">
        <v>934</v>
      </c>
      <c r="W154" s="17" t="s">
        <v>106</v>
      </c>
      <c r="X154" s="2" t="s">
        <v>935</v>
      </c>
      <c r="Y154" s="2" t="s">
        <v>83</v>
      </c>
      <c r="Z154" s="2" t="s">
        <v>936</v>
      </c>
      <c r="AA154" s="2" t="s">
        <v>83</v>
      </c>
      <c r="AB154" s="26" t="s">
        <v>68</v>
      </c>
      <c r="AC154" s="26" t="s">
        <v>68</v>
      </c>
      <c r="AD154" s="30">
        <v>29053</v>
      </c>
      <c r="AE154" s="42">
        <v>15871245</v>
      </c>
    </row>
    <row r="155" spans="1:31" ht="90" x14ac:dyDescent="0.25">
      <c r="A155" s="10" t="s">
        <v>937</v>
      </c>
      <c r="B155" s="2" t="s">
        <v>65</v>
      </c>
      <c r="C155" s="2" t="s">
        <v>66</v>
      </c>
      <c r="D155" s="2" t="s">
        <v>171</v>
      </c>
      <c r="E155" s="2" t="s">
        <v>68</v>
      </c>
      <c r="F155" s="2" t="s">
        <v>69</v>
      </c>
      <c r="G155" s="9">
        <v>41061</v>
      </c>
      <c r="H155" s="9">
        <v>41091</v>
      </c>
      <c r="I155" s="9">
        <v>42156</v>
      </c>
      <c r="J155" s="45">
        <v>2.9166666666666665</v>
      </c>
      <c r="K155" s="9" t="s">
        <v>70</v>
      </c>
      <c r="L155" s="9" t="s">
        <v>70</v>
      </c>
      <c r="M155" s="2" t="s">
        <v>71</v>
      </c>
      <c r="N155" s="2" t="s">
        <v>288</v>
      </c>
      <c r="O155" s="2" t="s">
        <v>73</v>
      </c>
      <c r="P155" s="2" t="s">
        <v>938</v>
      </c>
      <c r="Q155" s="2" t="s">
        <v>75</v>
      </c>
      <c r="R155" s="2" t="s">
        <v>92</v>
      </c>
      <c r="S155" s="2" t="s">
        <v>93</v>
      </c>
      <c r="T155" s="2" t="s">
        <v>78</v>
      </c>
      <c r="U155" s="2" t="s">
        <v>79</v>
      </c>
      <c r="V155" s="2" t="s">
        <v>939</v>
      </c>
      <c r="W155" s="2" t="s">
        <v>81</v>
      </c>
      <c r="X155" s="2" t="s">
        <v>940</v>
      </c>
      <c r="Y155" s="2" t="s">
        <v>85</v>
      </c>
      <c r="Z155" s="2" t="s">
        <v>941</v>
      </c>
      <c r="AA155" s="2" t="s">
        <v>178</v>
      </c>
      <c r="AB155" s="26">
        <v>1</v>
      </c>
      <c r="AC155" s="26" t="s">
        <v>68</v>
      </c>
      <c r="AD155" s="30">
        <v>1828</v>
      </c>
      <c r="AE155" s="30">
        <v>1724540</v>
      </c>
    </row>
    <row r="156" spans="1:31" ht="150" x14ac:dyDescent="0.25">
      <c r="A156" s="10" t="s">
        <v>942</v>
      </c>
      <c r="B156" s="2" t="s">
        <v>65</v>
      </c>
      <c r="C156" s="2" t="s">
        <v>66</v>
      </c>
      <c r="D156" s="2" t="s">
        <v>162</v>
      </c>
      <c r="E156" s="2" t="s">
        <v>68</v>
      </c>
      <c r="F156" s="2" t="s">
        <v>69</v>
      </c>
      <c r="G156" s="9">
        <v>41061</v>
      </c>
      <c r="H156" s="9">
        <v>41275</v>
      </c>
      <c r="I156" s="9">
        <v>42156</v>
      </c>
      <c r="J156" s="45">
        <v>2.4166666666666665</v>
      </c>
      <c r="K156" s="9" t="s">
        <v>70</v>
      </c>
      <c r="L156" s="9" t="s">
        <v>70</v>
      </c>
      <c r="M156" s="2" t="s">
        <v>71</v>
      </c>
      <c r="N156" s="2" t="s">
        <v>943</v>
      </c>
      <c r="O156" s="2" t="s">
        <v>89</v>
      </c>
      <c r="P156" s="2" t="s">
        <v>944</v>
      </c>
      <c r="Q156" s="2" t="s">
        <v>91</v>
      </c>
      <c r="R156" s="2" t="s">
        <v>92</v>
      </c>
      <c r="S156" s="2" t="s">
        <v>68</v>
      </c>
      <c r="T156" s="2" t="s">
        <v>78</v>
      </c>
      <c r="U156" s="2" t="s">
        <v>79</v>
      </c>
      <c r="V156" s="2" t="s">
        <v>945</v>
      </c>
      <c r="W156" s="2" t="s">
        <v>175</v>
      </c>
      <c r="X156" s="2" t="s">
        <v>946</v>
      </c>
      <c r="Y156" s="2" t="s">
        <v>83</v>
      </c>
      <c r="Z156" s="2" t="s">
        <v>947</v>
      </c>
      <c r="AA156" s="2" t="s">
        <v>85</v>
      </c>
      <c r="AB156" s="26">
        <v>4</v>
      </c>
      <c r="AC156" s="26" t="s">
        <v>68</v>
      </c>
      <c r="AD156" s="26">
        <v>149</v>
      </c>
      <c r="AE156" s="29">
        <v>14347808</v>
      </c>
    </row>
    <row r="157" spans="1:31" ht="105" x14ac:dyDescent="0.25">
      <c r="A157" s="10" t="s">
        <v>948</v>
      </c>
      <c r="B157" s="2" t="s">
        <v>65</v>
      </c>
      <c r="C157" s="2" t="s">
        <v>66</v>
      </c>
      <c r="D157" s="2" t="s">
        <v>324</v>
      </c>
      <c r="E157" s="2" t="s">
        <v>68</v>
      </c>
      <c r="F157" s="2" t="s">
        <v>69</v>
      </c>
      <c r="G157" s="9">
        <v>41061</v>
      </c>
      <c r="H157" s="9">
        <v>41240</v>
      </c>
      <c r="I157" s="9">
        <v>42551</v>
      </c>
      <c r="J157" s="45">
        <v>3.5916666666666668</v>
      </c>
      <c r="K157" s="9" t="s">
        <v>101</v>
      </c>
      <c r="L157" s="9" t="s">
        <v>70</v>
      </c>
      <c r="M157" s="2" t="s">
        <v>71</v>
      </c>
      <c r="N157" s="2" t="s">
        <v>172</v>
      </c>
      <c r="O157" s="2" t="s">
        <v>103</v>
      </c>
      <c r="P157" s="2" t="s">
        <v>949</v>
      </c>
      <c r="Q157" s="2" t="s">
        <v>91</v>
      </c>
      <c r="R157" s="2" t="s">
        <v>92</v>
      </c>
      <c r="S157" s="2" t="s">
        <v>68</v>
      </c>
      <c r="T157" s="2" t="s">
        <v>78</v>
      </c>
      <c r="U157" s="2" t="s">
        <v>79</v>
      </c>
      <c r="V157" s="2" t="s">
        <v>950</v>
      </c>
      <c r="W157" s="2" t="s">
        <v>81</v>
      </c>
      <c r="X157" s="2" t="s">
        <v>951</v>
      </c>
      <c r="Y157" s="2" t="s">
        <v>83</v>
      </c>
      <c r="Z157" s="2" t="s">
        <v>952</v>
      </c>
      <c r="AA157" s="2" t="s">
        <v>83</v>
      </c>
      <c r="AB157" s="26" t="s">
        <v>88</v>
      </c>
      <c r="AC157" s="26" t="s">
        <v>68</v>
      </c>
      <c r="AD157" s="28" t="s">
        <v>88</v>
      </c>
      <c r="AE157" s="29">
        <v>11762777</v>
      </c>
    </row>
    <row r="158" spans="1:31" ht="60" x14ac:dyDescent="0.25">
      <c r="A158" s="10" t="s">
        <v>953</v>
      </c>
      <c r="B158" s="2" t="s">
        <v>65</v>
      </c>
      <c r="C158" s="2" t="s">
        <v>66</v>
      </c>
      <c r="D158" s="2" t="s">
        <v>67</v>
      </c>
      <c r="E158" s="2" t="s">
        <v>68</v>
      </c>
      <c r="F158" s="2" t="s">
        <v>69</v>
      </c>
      <c r="G158" s="9">
        <v>41061</v>
      </c>
      <c r="H158" s="9">
        <v>41091</v>
      </c>
      <c r="I158" s="9">
        <v>42460</v>
      </c>
      <c r="J158" s="45">
        <v>3.75</v>
      </c>
      <c r="K158" s="9" t="s">
        <v>212</v>
      </c>
      <c r="L158" s="9" t="s">
        <v>70</v>
      </c>
      <c r="M158" s="2" t="s">
        <v>71</v>
      </c>
      <c r="N158" s="2" t="s">
        <v>567</v>
      </c>
      <c r="O158" s="2" t="s">
        <v>89</v>
      </c>
      <c r="P158" s="2" t="s">
        <v>189</v>
      </c>
      <c r="Q158" s="2" t="s">
        <v>75</v>
      </c>
      <c r="R158" s="2" t="s">
        <v>88</v>
      </c>
      <c r="S158" s="2" t="s">
        <v>77</v>
      </c>
      <c r="T158" s="2" t="s">
        <v>78</v>
      </c>
      <c r="U158" s="2" t="s">
        <v>79</v>
      </c>
      <c r="V158" s="2" t="s">
        <v>954</v>
      </c>
      <c r="W158" s="2" t="s">
        <v>81</v>
      </c>
      <c r="X158" s="2" t="s">
        <v>955</v>
      </c>
      <c r="Y158" s="2" t="s">
        <v>83</v>
      </c>
      <c r="Z158" s="2" t="s">
        <v>956</v>
      </c>
      <c r="AA158" s="2" t="s">
        <v>85</v>
      </c>
      <c r="AB158" s="26">
        <v>1</v>
      </c>
      <c r="AC158" s="26" t="s">
        <v>68</v>
      </c>
      <c r="AD158" s="26">
        <v>28844</v>
      </c>
      <c r="AE158" s="33">
        <v>12839157</v>
      </c>
    </row>
    <row r="159" spans="1:31" ht="0.75" customHeight="1" x14ac:dyDescent="0.25">
      <c r="A159" s="10" t="s">
        <v>957</v>
      </c>
      <c r="B159" s="2" t="s">
        <v>65</v>
      </c>
      <c r="C159" s="2" t="s">
        <v>66</v>
      </c>
      <c r="D159" s="2" t="s">
        <v>67</v>
      </c>
      <c r="E159" s="2" t="s">
        <v>68</v>
      </c>
      <c r="F159" s="2" t="s">
        <v>69</v>
      </c>
      <c r="G159" s="9">
        <v>41061</v>
      </c>
      <c r="H159" s="9">
        <v>41183</v>
      </c>
      <c r="I159" s="9">
        <v>42156</v>
      </c>
      <c r="J159" s="45">
        <v>2.6666666666666665</v>
      </c>
      <c r="K159" s="9" t="s">
        <v>70</v>
      </c>
      <c r="L159" s="9" t="s">
        <v>70</v>
      </c>
      <c r="M159" s="2" t="s">
        <v>71</v>
      </c>
      <c r="N159" s="2" t="s">
        <v>172</v>
      </c>
      <c r="O159" s="2" t="s">
        <v>89</v>
      </c>
      <c r="P159" s="2" t="s">
        <v>263</v>
      </c>
      <c r="Q159" s="2" t="s">
        <v>75</v>
      </c>
      <c r="R159" s="2" t="s">
        <v>182</v>
      </c>
      <c r="S159" s="2" t="s">
        <v>77</v>
      </c>
      <c r="T159" s="2" t="s">
        <v>78</v>
      </c>
      <c r="U159" s="2" t="s">
        <v>79</v>
      </c>
      <c r="V159" s="2" t="s">
        <v>958</v>
      </c>
      <c r="W159" s="2" t="s">
        <v>81</v>
      </c>
      <c r="X159" s="2" t="s">
        <v>959</v>
      </c>
      <c r="Y159" s="2" t="s">
        <v>83</v>
      </c>
      <c r="Z159" s="2" t="s">
        <v>960</v>
      </c>
      <c r="AA159" s="2" t="s">
        <v>83</v>
      </c>
      <c r="AB159" s="26">
        <v>4</v>
      </c>
      <c r="AC159" s="26" t="s">
        <v>68</v>
      </c>
      <c r="AD159" s="26">
        <v>172073</v>
      </c>
      <c r="AE159" s="27">
        <v>14935320</v>
      </c>
    </row>
    <row r="160" spans="1:31" ht="147" customHeight="1" x14ac:dyDescent="0.25">
      <c r="A160" s="50" t="s">
        <v>961</v>
      </c>
      <c r="B160" s="2" t="s">
        <v>65</v>
      </c>
      <c r="C160" s="2" t="s">
        <v>98</v>
      </c>
      <c r="D160" s="2" t="s">
        <v>68</v>
      </c>
      <c r="E160" s="2" t="s">
        <v>962</v>
      </c>
      <c r="F160" s="2" t="s">
        <v>100</v>
      </c>
      <c r="G160" s="9">
        <v>41395</v>
      </c>
      <c r="H160" s="9">
        <v>42094</v>
      </c>
      <c r="I160" s="9">
        <v>42979</v>
      </c>
      <c r="J160" s="45">
        <v>2.4194444444444443</v>
      </c>
      <c r="K160" s="9" t="s">
        <v>70</v>
      </c>
      <c r="L160" s="9" t="s">
        <v>70</v>
      </c>
      <c r="M160" s="2" t="s">
        <v>71</v>
      </c>
      <c r="N160" s="2" t="s">
        <v>963</v>
      </c>
      <c r="O160" s="2" t="s">
        <v>103</v>
      </c>
      <c r="P160" s="2" t="s">
        <v>964</v>
      </c>
      <c r="Q160" s="2" t="s">
        <v>91</v>
      </c>
      <c r="R160" s="2" t="s">
        <v>76</v>
      </c>
      <c r="S160" s="2" t="s">
        <v>77</v>
      </c>
      <c r="T160" s="2" t="s">
        <v>70</v>
      </c>
      <c r="U160" s="2" t="s">
        <v>79</v>
      </c>
      <c r="V160" s="2" t="s">
        <v>965</v>
      </c>
      <c r="W160" s="2" t="s">
        <v>106</v>
      </c>
      <c r="X160" s="2" t="s">
        <v>966</v>
      </c>
      <c r="Y160" s="2" t="s">
        <v>83</v>
      </c>
      <c r="Z160" s="2" t="s">
        <v>967</v>
      </c>
      <c r="AA160" s="2" t="s">
        <v>83</v>
      </c>
      <c r="AB160" s="26" t="s">
        <v>68</v>
      </c>
      <c r="AC160" s="26" t="s">
        <v>68</v>
      </c>
      <c r="AD160" s="26">
        <v>780</v>
      </c>
      <c r="AE160" s="31">
        <v>9990848</v>
      </c>
    </row>
    <row r="161" spans="1:31" ht="90" x14ac:dyDescent="0.25">
      <c r="A161" s="10" t="s">
        <v>968</v>
      </c>
      <c r="B161" s="2" t="s">
        <v>65</v>
      </c>
      <c r="C161" s="2" t="s">
        <v>66</v>
      </c>
      <c r="D161" s="2" t="s">
        <v>67</v>
      </c>
      <c r="E161" s="2" t="s">
        <v>68</v>
      </c>
      <c r="F161" s="2" t="s">
        <v>69</v>
      </c>
      <c r="G161" s="9">
        <v>41061</v>
      </c>
      <c r="H161" s="9">
        <v>41061</v>
      </c>
      <c r="I161" s="9">
        <v>42156</v>
      </c>
      <c r="J161" s="45">
        <v>3</v>
      </c>
      <c r="K161" s="9" t="s">
        <v>70</v>
      </c>
      <c r="L161" s="9" t="s">
        <v>70</v>
      </c>
      <c r="M161" s="2" t="s">
        <v>71</v>
      </c>
      <c r="N161" s="2" t="s">
        <v>969</v>
      </c>
      <c r="O161" s="2" t="s">
        <v>73</v>
      </c>
      <c r="P161" s="2" t="s">
        <v>539</v>
      </c>
      <c r="Q161" s="2" t="s">
        <v>75</v>
      </c>
      <c r="R161" s="2" t="s">
        <v>76</v>
      </c>
      <c r="S161" s="2" t="s">
        <v>77</v>
      </c>
      <c r="T161" s="2" t="s">
        <v>78</v>
      </c>
      <c r="U161" s="2" t="s">
        <v>79</v>
      </c>
      <c r="V161" s="2" t="s">
        <v>970</v>
      </c>
      <c r="W161" s="2" t="s">
        <v>81</v>
      </c>
      <c r="X161" s="2" t="s">
        <v>971</v>
      </c>
      <c r="Y161" s="2" t="s">
        <v>83</v>
      </c>
      <c r="Z161" s="2" t="s">
        <v>972</v>
      </c>
      <c r="AA161" s="2" t="s">
        <v>178</v>
      </c>
      <c r="AB161" s="26">
        <v>1</v>
      </c>
      <c r="AC161" s="26" t="s">
        <v>68</v>
      </c>
      <c r="AD161" s="26">
        <v>639</v>
      </c>
      <c r="AE161" s="27">
        <v>1405924</v>
      </c>
    </row>
    <row r="162" spans="1:31" ht="105" x14ac:dyDescent="0.25">
      <c r="A162" s="10" t="s">
        <v>973</v>
      </c>
      <c r="B162" s="2" t="s">
        <v>294</v>
      </c>
      <c r="C162" s="2" t="s">
        <v>68</v>
      </c>
      <c r="D162" s="2" t="s">
        <v>68</v>
      </c>
      <c r="E162" s="2" t="s">
        <v>68</v>
      </c>
      <c r="F162" s="2" t="s">
        <v>69</v>
      </c>
      <c r="G162" s="9">
        <v>41913</v>
      </c>
      <c r="H162" s="9">
        <v>42248</v>
      </c>
      <c r="I162" s="9">
        <v>43709</v>
      </c>
      <c r="J162" s="45">
        <v>4</v>
      </c>
      <c r="K162" s="9" t="s">
        <v>70</v>
      </c>
      <c r="L162" s="9" t="s">
        <v>70</v>
      </c>
      <c r="M162" s="2" t="s">
        <v>71</v>
      </c>
      <c r="N162" s="2" t="s">
        <v>974</v>
      </c>
      <c r="O162" s="2" t="s">
        <v>103</v>
      </c>
      <c r="P162" s="2" t="s">
        <v>132</v>
      </c>
      <c r="Q162" s="2" t="s">
        <v>132</v>
      </c>
      <c r="R162" s="2" t="s">
        <v>76</v>
      </c>
      <c r="S162" s="2" t="s">
        <v>104</v>
      </c>
      <c r="T162" s="2" t="s">
        <v>78</v>
      </c>
      <c r="U162" s="2" t="s">
        <v>79</v>
      </c>
      <c r="V162" s="2" t="s">
        <v>975</v>
      </c>
      <c r="W162" s="2" t="s">
        <v>147</v>
      </c>
      <c r="X162" s="2" t="s">
        <v>147</v>
      </c>
      <c r="Y162" s="2" t="s">
        <v>147</v>
      </c>
      <c r="Z162" s="2" t="s">
        <v>147</v>
      </c>
      <c r="AA162" s="2" t="s">
        <v>147</v>
      </c>
      <c r="AB162" s="26">
        <v>41</v>
      </c>
      <c r="AC162" s="26" t="s">
        <v>68</v>
      </c>
      <c r="AD162" s="26" t="s">
        <v>68</v>
      </c>
      <c r="AE162" s="32">
        <f>572667114+65648733</f>
        <v>638315847</v>
      </c>
    </row>
    <row r="163" spans="1:31" ht="135" x14ac:dyDescent="0.25">
      <c r="A163" s="10" t="s">
        <v>976</v>
      </c>
      <c r="B163" s="2" t="s">
        <v>65</v>
      </c>
      <c r="C163" s="2" t="s">
        <v>66</v>
      </c>
      <c r="D163" s="2" t="s">
        <v>162</v>
      </c>
      <c r="E163" s="2" t="s">
        <v>68</v>
      </c>
      <c r="F163" s="2" t="s">
        <v>69</v>
      </c>
      <c r="G163" s="9">
        <v>41061</v>
      </c>
      <c r="H163" s="9">
        <v>41153</v>
      </c>
      <c r="I163" s="9">
        <v>42551</v>
      </c>
      <c r="J163" s="45">
        <v>3.8305555555555557</v>
      </c>
      <c r="K163" s="9" t="s">
        <v>212</v>
      </c>
      <c r="L163" s="9" t="s">
        <v>70</v>
      </c>
      <c r="M163" s="2" t="s">
        <v>71</v>
      </c>
      <c r="N163" s="2" t="s">
        <v>977</v>
      </c>
      <c r="O163" s="2" t="s">
        <v>103</v>
      </c>
      <c r="P163" s="2" t="s">
        <v>978</v>
      </c>
      <c r="Q163" s="2" t="s">
        <v>75</v>
      </c>
      <c r="R163" s="2" t="s">
        <v>76</v>
      </c>
      <c r="S163" s="2" t="s">
        <v>77</v>
      </c>
      <c r="T163" s="2" t="s">
        <v>78</v>
      </c>
      <c r="U163" s="2" t="s">
        <v>79</v>
      </c>
      <c r="V163" s="2" t="s">
        <v>979</v>
      </c>
      <c r="W163" s="2" t="s">
        <v>81</v>
      </c>
      <c r="X163" s="2" t="s">
        <v>980</v>
      </c>
      <c r="Y163" s="2" t="s">
        <v>83</v>
      </c>
      <c r="Z163" s="23" t="s">
        <v>981</v>
      </c>
      <c r="AA163" s="2" t="s">
        <v>85</v>
      </c>
      <c r="AB163" s="26">
        <v>68</v>
      </c>
      <c r="AC163" s="26" t="s">
        <v>68</v>
      </c>
      <c r="AD163" s="26">
        <v>15638</v>
      </c>
      <c r="AE163" s="29">
        <v>26583892</v>
      </c>
    </row>
    <row r="164" spans="1:31" ht="255" x14ac:dyDescent="0.25">
      <c r="A164" s="10" t="s">
        <v>982</v>
      </c>
      <c r="B164" s="2" t="s">
        <v>65</v>
      </c>
      <c r="C164" s="2" t="s">
        <v>66</v>
      </c>
      <c r="D164" s="2" t="s">
        <v>137</v>
      </c>
      <c r="E164" s="2" t="s">
        <v>68</v>
      </c>
      <c r="F164" s="2" t="s">
        <v>69</v>
      </c>
      <c r="G164" s="9">
        <v>41061</v>
      </c>
      <c r="H164" s="9">
        <v>41323</v>
      </c>
      <c r="I164" s="9">
        <v>42185</v>
      </c>
      <c r="J164" s="45">
        <v>2.3666666666666667</v>
      </c>
      <c r="K164" s="9" t="s">
        <v>70</v>
      </c>
      <c r="L164" s="9" t="s">
        <v>70</v>
      </c>
      <c r="M164" s="2" t="s">
        <v>71</v>
      </c>
      <c r="N164" s="2" t="s">
        <v>983</v>
      </c>
      <c r="O164" s="2" t="s">
        <v>73</v>
      </c>
      <c r="P164" s="2" t="s">
        <v>984</v>
      </c>
      <c r="Q164" s="2" t="s">
        <v>75</v>
      </c>
      <c r="R164" s="2" t="s">
        <v>182</v>
      </c>
      <c r="S164" s="2" t="s">
        <v>855</v>
      </c>
      <c r="T164" s="2" t="s">
        <v>78</v>
      </c>
      <c r="U164" s="2" t="s">
        <v>79</v>
      </c>
      <c r="V164" s="2" t="s">
        <v>985</v>
      </c>
      <c r="W164" s="2" t="s">
        <v>81</v>
      </c>
      <c r="X164" s="2" t="s">
        <v>986</v>
      </c>
      <c r="Y164" s="2" t="s">
        <v>127</v>
      </c>
      <c r="Z164" s="2" t="s">
        <v>987</v>
      </c>
      <c r="AA164" s="2" t="s">
        <v>178</v>
      </c>
      <c r="AB164" s="26">
        <v>10</v>
      </c>
      <c r="AC164" s="26" t="s">
        <v>68</v>
      </c>
      <c r="AD164" s="26">
        <v>2032</v>
      </c>
      <c r="AE164" s="27">
        <v>7662278</v>
      </c>
    </row>
    <row r="165" spans="1:31" ht="115.5" customHeight="1" x14ac:dyDescent="0.25">
      <c r="A165" s="10" t="s">
        <v>988</v>
      </c>
      <c r="B165" s="2" t="s">
        <v>65</v>
      </c>
      <c r="C165" s="2" t="s">
        <v>98</v>
      </c>
      <c r="D165" s="2" t="s">
        <v>68</v>
      </c>
      <c r="E165" s="2" t="s">
        <v>318</v>
      </c>
      <c r="F165" s="2" t="s">
        <v>100</v>
      </c>
      <c r="G165" s="9">
        <v>41395</v>
      </c>
      <c r="H165" s="9">
        <v>41883</v>
      </c>
      <c r="I165" s="9">
        <v>43159</v>
      </c>
      <c r="J165" s="45">
        <v>3.4916666666666667</v>
      </c>
      <c r="K165" s="9" t="s">
        <v>101</v>
      </c>
      <c r="L165" s="9" t="s">
        <v>70</v>
      </c>
      <c r="M165" s="2" t="s">
        <v>71</v>
      </c>
      <c r="N165" s="2" t="s">
        <v>989</v>
      </c>
      <c r="O165" s="2" t="s">
        <v>73</v>
      </c>
      <c r="P165" s="2" t="s">
        <v>990</v>
      </c>
      <c r="Q165" s="2" t="s">
        <v>91</v>
      </c>
      <c r="R165" s="2" t="s">
        <v>92</v>
      </c>
      <c r="S165" s="2" t="s">
        <v>77</v>
      </c>
      <c r="T165" s="2" t="s">
        <v>70</v>
      </c>
      <c r="U165" s="2" t="s">
        <v>79</v>
      </c>
      <c r="V165" s="2" t="s">
        <v>991</v>
      </c>
      <c r="W165" s="2" t="s">
        <v>106</v>
      </c>
      <c r="X165" s="2" t="s">
        <v>992</v>
      </c>
      <c r="Y165" s="2" t="s">
        <v>83</v>
      </c>
      <c r="Z165" s="2" t="s">
        <v>993</v>
      </c>
      <c r="AA165" s="2" t="s">
        <v>83</v>
      </c>
      <c r="AB165" s="26">
        <v>101</v>
      </c>
      <c r="AC165" s="26" t="s">
        <v>68</v>
      </c>
      <c r="AD165" s="30">
        <v>6489</v>
      </c>
      <c r="AE165" s="31">
        <v>10170496</v>
      </c>
    </row>
    <row r="166" spans="1:31" ht="105" x14ac:dyDescent="0.25">
      <c r="A166" s="10" t="s">
        <v>994</v>
      </c>
      <c r="B166" s="2" t="s">
        <v>65</v>
      </c>
      <c r="C166" s="2" t="s">
        <v>66</v>
      </c>
      <c r="D166" s="2" t="s">
        <v>171</v>
      </c>
      <c r="E166" s="2" t="s">
        <v>68</v>
      </c>
      <c r="F166" s="2" t="s">
        <v>69</v>
      </c>
      <c r="G166" s="9">
        <v>41061</v>
      </c>
      <c r="H166" s="9">
        <v>41091</v>
      </c>
      <c r="I166" s="9">
        <v>42369</v>
      </c>
      <c r="J166" s="45">
        <v>3.5</v>
      </c>
      <c r="K166" s="9" t="s">
        <v>101</v>
      </c>
      <c r="L166" s="9" t="s">
        <v>70</v>
      </c>
      <c r="M166" s="2" t="s">
        <v>71</v>
      </c>
      <c r="N166" s="2" t="s">
        <v>288</v>
      </c>
      <c r="O166" s="2" t="s">
        <v>89</v>
      </c>
      <c r="P166" s="2" t="s">
        <v>139</v>
      </c>
      <c r="Q166" s="2" t="s">
        <v>75</v>
      </c>
      <c r="R166" s="2" t="s">
        <v>92</v>
      </c>
      <c r="S166" s="2" t="s">
        <v>77</v>
      </c>
      <c r="T166" s="2" t="s">
        <v>78</v>
      </c>
      <c r="U166" s="2" t="s">
        <v>79</v>
      </c>
      <c r="V166" s="2" t="s">
        <v>995</v>
      </c>
      <c r="W166" s="2" t="s">
        <v>81</v>
      </c>
      <c r="X166" s="2" t="s">
        <v>996</v>
      </c>
      <c r="Y166" s="2" t="s">
        <v>127</v>
      </c>
      <c r="Z166" s="2" t="s">
        <v>997</v>
      </c>
      <c r="AA166" s="2" t="s">
        <v>178</v>
      </c>
      <c r="AB166" s="26">
        <v>1</v>
      </c>
      <c r="AC166" s="26" t="s">
        <v>68</v>
      </c>
      <c r="AD166" s="26">
        <v>1574</v>
      </c>
      <c r="AE166" s="29">
        <v>3208541</v>
      </c>
    </row>
    <row r="167" spans="1:31" ht="105" x14ac:dyDescent="0.25">
      <c r="A167" s="10" t="s">
        <v>998</v>
      </c>
      <c r="B167" s="2" t="s">
        <v>65</v>
      </c>
      <c r="C167" s="2" t="s">
        <v>66</v>
      </c>
      <c r="D167" s="2" t="s">
        <v>187</v>
      </c>
      <c r="E167" s="2" t="s">
        <v>68</v>
      </c>
      <c r="F167" s="2" t="s">
        <v>69</v>
      </c>
      <c r="G167" s="9">
        <v>41061</v>
      </c>
      <c r="H167" s="9">
        <v>41091</v>
      </c>
      <c r="I167" s="9">
        <v>42277</v>
      </c>
      <c r="J167" s="45">
        <v>3.2472222222222222</v>
      </c>
      <c r="K167" s="9" t="s">
        <v>101</v>
      </c>
      <c r="L167" s="9" t="s">
        <v>70</v>
      </c>
      <c r="M167" s="2" t="s">
        <v>71</v>
      </c>
      <c r="N167" s="2" t="s">
        <v>999</v>
      </c>
      <c r="O167" s="2" t="s">
        <v>103</v>
      </c>
      <c r="P167" s="2" t="s">
        <v>189</v>
      </c>
      <c r="Q167" s="2" t="s">
        <v>91</v>
      </c>
      <c r="R167" s="2" t="s">
        <v>76</v>
      </c>
      <c r="S167" s="2" t="s">
        <v>77</v>
      </c>
      <c r="T167" s="2" t="s">
        <v>78</v>
      </c>
      <c r="U167" s="2" t="s">
        <v>79</v>
      </c>
      <c r="V167" s="2" t="s">
        <v>1000</v>
      </c>
      <c r="W167" s="2" t="s">
        <v>81</v>
      </c>
      <c r="X167" s="2" t="s">
        <v>1001</v>
      </c>
      <c r="Y167" s="2" t="s">
        <v>83</v>
      </c>
      <c r="Z167" s="23" t="s">
        <v>1002</v>
      </c>
      <c r="AA167" s="2" t="s">
        <v>83</v>
      </c>
      <c r="AB167" s="26">
        <v>10</v>
      </c>
      <c r="AC167" s="26" t="s">
        <v>68</v>
      </c>
      <c r="AD167" s="26">
        <v>378</v>
      </c>
      <c r="AE167" s="27">
        <v>9380855</v>
      </c>
    </row>
    <row r="168" spans="1:31" ht="105" x14ac:dyDescent="0.25">
      <c r="A168" s="10" t="s">
        <v>1003</v>
      </c>
      <c r="B168" s="2" t="s">
        <v>65</v>
      </c>
      <c r="C168" s="2" t="s">
        <v>66</v>
      </c>
      <c r="D168" s="2" t="s">
        <v>171</v>
      </c>
      <c r="E168" s="2" t="s">
        <v>68</v>
      </c>
      <c r="F168" s="2" t="s">
        <v>69</v>
      </c>
      <c r="G168" s="9">
        <v>41061</v>
      </c>
      <c r="H168" s="9">
        <v>41061</v>
      </c>
      <c r="I168" s="9">
        <v>42156</v>
      </c>
      <c r="J168" s="45">
        <v>3</v>
      </c>
      <c r="K168" s="9" t="s">
        <v>70</v>
      </c>
      <c r="L168" s="9" t="s">
        <v>70</v>
      </c>
      <c r="M168" s="2" t="s">
        <v>71</v>
      </c>
      <c r="N168" s="2" t="s">
        <v>1004</v>
      </c>
      <c r="O168" s="2" t="s">
        <v>103</v>
      </c>
      <c r="P168" s="2" t="s">
        <v>1005</v>
      </c>
      <c r="Q168" s="2" t="s">
        <v>91</v>
      </c>
      <c r="R168" s="49" t="s">
        <v>92</v>
      </c>
      <c r="S168" s="2" t="s">
        <v>68</v>
      </c>
      <c r="T168" s="2" t="s">
        <v>78</v>
      </c>
      <c r="U168" s="2" t="s">
        <v>79</v>
      </c>
      <c r="V168" s="2" t="s">
        <v>1006</v>
      </c>
      <c r="W168" s="2" t="s">
        <v>81</v>
      </c>
      <c r="X168" s="2" t="s">
        <v>1007</v>
      </c>
      <c r="Y168" s="2" t="s">
        <v>83</v>
      </c>
      <c r="Z168" s="2" t="s">
        <v>1008</v>
      </c>
      <c r="AA168" s="2" t="s">
        <v>83</v>
      </c>
      <c r="AB168" s="26">
        <v>10</v>
      </c>
      <c r="AC168" s="26" t="s">
        <v>68</v>
      </c>
      <c r="AD168" s="26">
        <v>300</v>
      </c>
      <c r="AE168" s="29">
        <v>1938945</v>
      </c>
    </row>
    <row r="169" spans="1:31" ht="165" x14ac:dyDescent="0.25">
      <c r="A169" s="10" t="s">
        <v>1009</v>
      </c>
      <c r="B169" s="2" t="s">
        <v>65</v>
      </c>
      <c r="C169" s="2" t="s">
        <v>68</v>
      </c>
      <c r="D169" s="2" t="s">
        <v>68</v>
      </c>
      <c r="E169" s="2" t="s">
        <v>68</v>
      </c>
      <c r="F169" s="2" t="s">
        <v>375</v>
      </c>
      <c r="G169" s="9">
        <v>43952</v>
      </c>
      <c r="H169" s="9">
        <v>44287</v>
      </c>
      <c r="I169" s="9">
        <v>45657</v>
      </c>
      <c r="J169" s="45">
        <v>3.75</v>
      </c>
      <c r="K169" s="19" t="s">
        <v>88</v>
      </c>
      <c r="L169" s="9" t="s">
        <v>70</v>
      </c>
      <c r="M169" s="2" t="s">
        <v>71</v>
      </c>
      <c r="N169" s="2" t="s">
        <v>1010</v>
      </c>
      <c r="O169" s="2" t="s">
        <v>103</v>
      </c>
      <c r="P169" s="2" t="s">
        <v>201</v>
      </c>
      <c r="Q169" s="2" t="s">
        <v>132</v>
      </c>
      <c r="R169" s="2" t="s">
        <v>92</v>
      </c>
      <c r="S169" s="2" t="s">
        <v>68</v>
      </c>
      <c r="T169" s="2" t="s">
        <v>78</v>
      </c>
      <c r="U169" s="2" t="s">
        <v>79</v>
      </c>
      <c r="V169" s="2" t="s">
        <v>1011</v>
      </c>
      <c r="W169" s="2" t="s">
        <v>147</v>
      </c>
      <c r="X169" s="2" t="s">
        <v>147</v>
      </c>
      <c r="Y169" s="2" t="s">
        <v>147</v>
      </c>
      <c r="Z169" s="2" t="s">
        <v>147</v>
      </c>
      <c r="AA169" s="2" t="s">
        <v>147</v>
      </c>
      <c r="AB169" s="26" t="s">
        <v>79</v>
      </c>
      <c r="AC169" s="26" t="s">
        <v>79</v>
      </c>
      <c r="AD169" s="26" t="s">
        <v>79</v>
      </c>
      <c r="AE169" s="26" t="s">
        <v>79</v>
      </c>
    </row>
    <row r="170" spans="1:31" ht="45" x14ac:dyDescent="0.25">
      <c r="A170" s="10" t="s">
        <v>1012</v>
      </c>
      <c r="B170" s="2" t="s">
        <v>119</v>
      </c>
      <c r="C170" s="2" t="s">
        <v>68</v>
      </c>
      <c r="D170" s="2" t="s">
        <v>68</v>
      </c>
      <c r="E170" s="2" t="s">
        <v>68</v>
      </c>
      <c r="F170" s="2" t="s">
        <v>100</v>
      </c>
      <c r="G170" s="9">
        <v>42644</v>
      </c>
      <c r="H170" s="9">
        <v>42736</v>
      </c>
      <c r="I170" s="9">
        <v>44896</v>
      </c>
      <c r="J170" s="45">
        <v>5.916666666666667</v>
      </c>
      <c r="K170" s="19" t="s">
        <v>88</v>
      </c>
      <c r="L170" s="9" t="s">
        <v>70</v>
      </c>
      <c r="M170" s="2" t="s">
        <v>71</v>
      </c>
      <c r="N170" s="2" t="s">
        <v>1013</v>
      </c>
      <c r="O170" s="2" t="s">
        <v>103</v>
      </c>
      <c r="P170" s="2" t="s">
        <v>1014</v>
      </c>
      <c r="Q170" s="2" t="s">
        <v>75</v>
      </c>
      <c r="R170" s="2" t="s">
        <v>92</v>
      </c>
      <c r="S170" s="2" t="s">
        <v>68</v>
      </c>
      <c r="T170" s="2" t="s">
        <v>133</v>
      </c>
      <c r="U170" s="2" t="s">
        <v>393</v>
      </c>
      <c r="V170" s="2" t="s">
        <v>1015</v>
      </c>
      <c r="W170" s="2" t="s">
        <v>115</v>
      </c>
      <c r="X170" s="2" t="s">
        <v>1016</v>
      </c>
      <c r="Y170" s="2" t="s">
        <v>204</v>
      </c>
      <c r="Z170" s="2" t="s">
        <v>1017</v>
      </c>
      <c r="AA170" s="2" t="s">
        <v>85</v>
      </c>
      <c r="AB170" s="26">
        <v>1</v>
      </c>
      <c r="AC170" s="26" t="s">
        <v>88</v>
      </c>
      <c r="AD170" s="28">
        <v>109869</v>
      </c>
      <c r="AE170" s="33">
        <f xml:space="preserve"> 9499549+5832570+7363551</f>
        <v>22695670</v>
      </c>
    </row>
    <row r="171" spans="1:31" ht="105" x14ac:dyDescent="0.25">
      <c r="A171" s="10" t="s">
        <v>1018</v>
      </c>
      <c r="B171" s="2" t="s">
        <v>65</v>
      </c>
      <c r="C171" s="2" t="s">
        <v>98</v>
      </c>
      <c r="D171" s="2" t="s">
        <v>68</v>
      </c>
      <c r="E171" s="2" t="s">
        <v>318</v>
      </c>
      <c r="F171" s="2" t="s">
        <v>100</v>
      </c>
      <c r="G171" s="9">
        <v>41395</v>
      </c>
      <c r="H171" s="9">
        <v>42095</v>
      </c>
      <c r="I171" s="9">
        <v>42979</v>
      </c>
      <c r="J171" s="45">
        <v>2.4166666666666665</v>
      </c>
      <c r="K171" s="9" t="s">
        <v>70</v>
      </c>
      <c r="L171" s="9" t="s">
        <v>70</v>
      </c>
      <c r="M171" s="2" t="s">
        <v>71</v>
      </c>
      <c r="N171" s="2" t="s">
        <v>1019</v>
      </c>
      <c r="O171" s="2" t="s">
        <v>89</v>
      </c>
      <c r="P171" s="2" t="s">
        <v>189</v>
      </c>
      <c r="Q171" s="2" t="s">
        <v>75</v>
      </c>
      <c r="R171" s="2" t="s">
        <v>113</v>
      </c>
      <c r="S171" s="2" t="s">
        <v>77</v>
      </c>
      <c r="T171" s="2" t="s">
        <v>70</v>
      </c>
      <c r="U171" s="2" t="s">
        <v>79</v>
      </c>
      <c r="V171" s="2" t="s">
        <v>1020</v>
      </c>
      <c r="W171" s="2" t="s">
        <v>106</v>
      </c>
      <c r="X171" s="2" t="s">
        <v>1021</v>
      </c>
      <c r="Y171" s="2" t="s">
        <v>83</v>
      </c>
      <c r="Z171" s="2" t="s">
        <v>1022</v>
      </c>
      <c r="AA171" s="2" t="s">
        <v>83</v>
      </c>
      <c r="AB171" s="26" t="s">
        <v>68</v>
      </c>
      <c r="AC171" s="26" t="s">
        <v>68</v>
      </c>
      <c r="AD171" s="30">
        <v>4367</v>
      </c>
      <c r="AE171" s="31">
        <v>7983297</v>
      </c>
    </row>
    <row r="172" spans="1:31" ht="150" x14ac:dyDescent="0.25">
      <c r="A172" s="10" t="s">
        <v>1023</v>
      </c>
      <c r="B172" s="2" t="s">
        <v>65</v>
      </c>
      <c r="C172" s="2" t="s">
        <v>1024</v>
      </c>
      <c r="D172" s="2" t="s">
        <v>68</v>
      </c>
      <c r="E172" s="2" t="s">
        <v>68</v>
      </c>
      <c r="F172" s="2" t="s">
        <v>100</v>
      </c>
      <c r="G172" s="9">
        <v>41989</v>
      </c>
      <c r="H172" s="9">
        <v>42036</v>
      </c>
      <c r="I172" s="9">
        <v>43466</v>
      </c>
      <c r="J172" s="45">
        <v>3.9166666666666665</v>
      </c>
      <c r="K172" s="9" t="s">
        <v>70</v>
      </c>
      <c r="L172" s="9" t="s">
        <v>70</v>
      </c>
      <c r="M172" s="2" t="s">
        <v>71</v>
      </c>
      <c r="N172" s="2" t="s">
        <v>415</v>
      </c>
      <c r="O172" s="2" t="s">
        <v>103</v>
      </c>
      <c r="P172" s="2" t="s">
        <v>831</v>
      </c>
      <c r="Q172" s="2" t="s">
        <v>75</v>
      </c>
      <c r="R172" s="2" t="s">
        <v>92</v>
      </c>
      <c r="S172" s="2" t="s">
        <v>77</v>
      </c>
      <c r="T172" s="2" t="s">
        <v>78</v>
      </c>
      <c r="U172" s="2" t="s">
        <v>85</v>
      </c>
      <c r="V172" s="2" t="s">
        <v>1025</v>
      </c>
      <c r="W172" s="2" t="s">
        <v>81</v>
      </c>
      <c r="X172" s="2" t="s">
        <v>1026</v>
      </c>
      <c r="Y172" s="2" t="s">
        <v>83</v>
      </c>
      <c r="Z172" s="2" t="s">
        <v>1027</v>
      </c>
      <c r="AA172" s="2" t="s">
        <v>83</v>
      </c>
      <c r="AB172" s="26" t="s">
        <v>68</v>
      </c>
      <c r="AC172" s="26" t="s">
        <v>68</v>
      </c>
      <c r="AD172" s="26" t="s">
        <v>68</v>
      </c>
      <c r="AE172" s="29">
        <v>64997973</v>
      </c>
    </row>
    <row r="173" spans="1:31" ht="165" customHeight="1" x14ac:dyDescent="0.25">
      <c r="A173" s="10" t="s">
        <v>1028</v>
      </c>
      <c r="B173" s="2" t="s">
        <v>65</v>
      </c>
      <c r="C173" s="2" t="s">
        <v>66</v>
      </c>
      <c r="D173" s="2" t="s">
        <v>162</v>
      </c>
      <c r="E173" s="2" t="s">
        <v>68</v>
      </c>
      <c r="F173" s="2" t="s">
        <v>69</v>
      </c>
      <c r="G173" s="9">
        <v>41061</v>
      </c>
      <c r="H173" s="9">
        <v>41061</v>
      </c>
      <c r="I173" s="9">
        <v>42156</v>
      </c>
      <c r="J173" s="45">
        <v>3</v>
      </c>
      <c r="K173" s="9" t="s">
        <v>70</v>
      </c>
      <c r="L173" s="9" t="s">
        <v>70</v>
      </c>
      <c r="M173" s="2" t="s">
        <v>71</v>
      </c>
      <c r="N173" s="2" t="s">
        <v>1029</v>
      </c>
      <c r="O173" s="2" t="s">
        <v>103</v>
      </c>
      <c r="P173" s="2" t="s">
        <v>1030</v>
      </c>
      <c r="Q173" s="2" t="s">
        <v>91</v>
      </c>
      <c r="R173" s="2" t="s">
        <v>92</v>
      </c>
      <c r="S173" s="2" t="s">
        <v>68</v>
      </c>
      <c r="T173" s="2" t="s">
        <v>78</v>
      </c>
      <c r="U173" s="2" t="s">
        <v>79</v>
      </c>
      <c r="V173" s="2" t="s">
        <v>1031</v>
      </c>
      <c r="W173" s="2" t="s">
        <v>81</v>
      </c>
      <c r="X173" s="2" t="s">
        <v>1032</v>
      </c>
      <c r="Y173" s="2" t="s">
        <v>83</v>
      </c>
      <c r="Z173" s="2" t="s">
        <v>1032</v>
      </c>
      <c r="AA173" s="2" t="s">
        <v>83</v>
      </c>
      <c r="AB173" s="26">
        <v>20</v>
      </c>
      <c r="AC173" s="26" t="s">
        <v>68</v>
      </c>
      <c r="AD173" s="28" t="s">
        <v>88</v>
      </c>
      <c r="AE173" s="33">
        <v>14246153</v>
      </c>
    </row>
  </sheetData>
  <phoneticPr fontId="6" type="noConversion"/>
  <dataValidations count="4">
    <dataValidation type="list" allowBlank="1" showInputMessage="1" showErrorMessage="1" sqref="W10:W11 W8 W2 W5:W6" xr:uid="{62814ADD-8D31-4C16-8551-6B20398DC4D2}">
      <formula1>"First year, Second year, Third year, Fourth year, Fifth year, Additional years, Other, Final "</formula1>
    </dataValidation>
    <dataValidation type="list" allowBlank="1" showInputMessage="1" showErrorMessage="1" sqref="U2:U10 N133 U12:U173" xr:uid="{E7A3250C-A998-490E-9236-F330CD142116}">
      <formula1>"Only upside,Two-sided,Mixed,Not applicable,Not readily available"</formula1>
    </dataValidation>
    <dataValidation type="list" allowBlank="1" showInputMessage="1" showErrorMessage="1" sqref="T143:T148 T2:T141" xr:uid="{56E9F1EE-15E1-42A2-AB71-DA6B280B060D}">
      <formula1>"AAPM,mixed,no,not readily available"</formula1>
    </dataValidation>
    <dataValidation type="list" allowBlank="1" showInputMessage="1" showErrorMessage="1" sqref="M2:M173" xr:uid="{11949D5B-7DA7-414D-902A-EAEBE3215959}">
      <formula1>"Voluntary,Mandatory,Mixed,Not readily available"</formula1>
    </dataValidation>
  </dataValidations>
  <pageMargins left="0.7" right="0.7" top="0.75" bottom="0.75" header="0.3" footer="0.3"/>
  <pageSetup orientation="portrait" verticalDpi="0" r:id="rId1"/>
  <tableParts count="1">
    <tablePart r:id="rId2"/>
  </tableParts>
  <extLst>
    <ext xmlns:x14="http://schemas.microsoft.com/office/spreadsheetml/2009/9/main" uri="{CCE6A557-97BC-4b89-ADB6-D9C93CAAB3DF}">
      <x14:dataValidations xmlns:xm="http://schemas.microsoft.com/office/excel/2006/main" count="17">
        <x14:dataValidation type="list" allowBlank="1" showInputMessage="1" showErrorMessage="1" xr:uid="{1000C275-C5E4-42F1-99DE-48AC66C65DE6}">
          <x14:formula1>
            <xm:f>'Latest evaluation list'!$A$1:$A$9</xm:f>
          </x14:formula1>
          <xm:sqref>W57 W51:W53 W9 W7 W3:W4 W44 W41:W42 W12:W23 W25:W30 X20:AE20 W33:W39</xm:sqref>
        </x14:dataValidation>
        <x14:dataValidation type="list" allowBlank="1" showInputMessage="1" showErrorMessage="1" xr:uid="{3DA82BCE-6B03-4D85-AEDD-FA641B922CFE}">
          <x14:formula1>
            <xm:f>'Eval costs'!$A$1:$A$6</xm:f>
          </x14:formula1>
          <xm:sqref>Y10:Y19 AA173 Y55:Y59 Y131:Y132 Y170:Y173 Y63:Y79 Y81 Y163:Y168 Y105:Y112 Y51:Y53 Y134:Y136 Y121:Y129 Y2:Y8 Y21:Y22 Y24:Y46 Y48:Y49 Y115:Y119 Y138:Y161 Y83:Y85 Y87:Y93 Y95:Y100 Y102:Y103</xm:sqref>
        </x14:dataValidation>
        <x14:dataValidation type="list" allowBlank="1" showInputMessage="1" showErrorMessage="1" xr:uid="{3D2146C4-9625-4D95-A7A7-CF71C12A78D4}">
          <x14:formula1>
            <xm:f>'Eval quality'!$A$1:$A$6</xm:f>
          </x14:formula1>
          <xm:sqref>AA170:AA172 AA55 AA57:AA59 AA10:AA19 AA63:AA79 AA81 AA163:AA168 AA105:AA112 AA51:AA53 AA131:AA136 AA121:AA129 AA21:AA22 AA2:AA8 AA24:AA46 AA48:AA49 AA115:AA119 AA138:AA161 AA83:AA85 AA87:AA93 AA95:AA100 AA102:AA103</xm:sqref>
        </x14:dataValidation>
        <x14:dataValidation type="list" allowBlank="1" showInputMessage="1" showErrorMessage="1" xr:uid="{19397938-ED2C-4AA8-B1E0-420D889E0C0C}">
          <x14:formula1>
            <xm:f>Regional!$A$1:$A$9</xm:f>
          </x14:formula1>
          <xm:sqref>Q2:Q4 Q143:Q173 Q6:Q141</xm:sqref>
        </x14:dataValidation>
        <x14:dataValidation type="list" allowBlank="1" showInputMessage="1" showErrorMessage="1" xr:uid="{4A33415D-0E39-47D6-AC0A-EEC613120A4F}">
          <x14:formula1>
            <xm:f>Regional!$A$1:$A$10</xm:f>
          </x14:formula1>
          <xm:sqref>Q5</xm:sqref>
        </x14:dataValidation>
        <x14:dataValidation type="list" allowBlank="1" showInputMessage="1" showErrorMessage="1" xr:uid="{4CFC810F-B16D-4AD7-AB04-6B4109C4DD0D}">
          <x14:formula1>
            <xm:f>'Latest evaluation list'!$A$1:$A$10</xm:f>
          </x14:formula1>
          <xm:sqref>W77:W79 W75 W64:W73 W58 W45 W43 W40 W31:W32 W24 W81:W141 W143:W173 X82:AA82 X104:AA104 X113:AA114 X120:AA120 X130:AA130 X137:AA137 X162:AA162 X169:AA169</xm:sqref>
        </x14:dataValidation>
        <x14:dataValidation type="list" allowBlank="1" showInputMessage="1" showErrorMessage="1" xr:uid="{6EA8C297-421E-4C1F-BB28-B63A68D9FDF7}">
          <x14:formula1>
            <xm:f>'HCIA2 Category List'!$A$1:$A$6</xm:f>
          </x14:formula1>
          <xm:sqref>E174:E243</xm:sqref>
        </x14:dataValidation>
        <x14:dataValidation type="list" allowBlank="1" showInputMessage="1" showErrorMessage="1" xr:uid="{DEB71454-7D05-4C0D-894E-695CD3CD3274}">
          <x14:formula1>
            <xm:f>AAPM!$A$1:$A$4</xm:f>
          </x14:formula1>
          <xm:sqref>T149:T172</xm:sqref>
        </x14:dataValidation>
        <x14:dataValidation type="list" allowBlank="1" showInputMessage="1" showErrorMessage="1" xr:uid="{DECB36A8-3ED0-4FAE-AEA0-DFA6590AFAD4}">
          <x14:formula1>
            <xm:f>'HCIA Category List'!$A$1:$A$10</xm:f>
          </x14:formula1>
          <xm:sqref>E244:E1048576 D1 D174:D1048576</xm:sqref>
        </x14:dataValidation>
        <x14:dataValidation type="list" allowBlank="1" showInputMessage="1" showErrorMessage="1" xr:uid="{21A89DC9-E6BA-4C14-9874-C3D248847816}">
          <x14:formula1>
            <xm:f>'HCIA Category List'!$A$1:$A$11</xm:f>
          </x14:formula1>
          <xm:sqref>D2:D173</xm:sqref>
        </x14:dataValidation>
        <x14:dataValidation type="list" allowBlank="1" showInputMessage="1" showErrorMessage="1" xr:uid="{8F6DCCA1-0C52-4A48-9A47-6A2D8F27F2CA}">
          <x14:formula1>
            <xm:f>'HCIA2 Category List'!$A$1:$A$7</xm:f>
          </x14:formula1>
          <xm:sqref>E2:E173</xm:sqref>
        </x14:dataValidation>
        <x14:dataValidation type="list" allowBlank="1" showInputMessage="1" showErrorMessage="1" xr:uid="{AA4FD23C-AC72-4F72-A204-BA44A1203C93}">
          <x14:formula1>
            <xm:f>'Category list'!$A$1:$A$7</xm:f>
          </x14:formula1>
          <xm:sqref>B2:B173</xm:sqref>
        </x14:dataValidation>
        <x14:dataValidation type="list" allowBlank="1" showInputMessage="1" showErrorMessage="1" xr:uid="{3FDD7400-1D4F-440E-B8CA-E89F557B34CB}">
          <x14:formula1>
            <xm:f>HCIA!$A$1:$A$4</xm:f>
          </x14:formula1>
          <xm:sqref>C2:C173</xm:sqref>
        </x14:dataValidation>
        <x14:dataValidation type="list" allowBlank="1" showInputMessage="1" showErrorMessage="1" xr:uid="{FA27777F-FE48-4516-BCB3-69C62F8B9EA0}">
          <x14:formula1>
            <xm:f>'Status list'!$A$1:$A$8</xm:f>
          </x14:formula1>
          <xm:sqref>F2:F173</xm:sqref>
        </x14:dataValidation>
        <x14:dataValidation type="list" allowBlank="1" showInputMessage="1" showErrorMessage="1" xr:uid="{133A40A5-924F-41F8-BF7A-FF6D8725009F}">
          <x14:formula1>
            <xm:f>'Scope of services'!$A$1:$A$12</xm:f>
          </x14:formula1>
          <xm:sqref>R2:R173</xm:sqref>
        </x14:dataValidation>
        <x14:dataValidation type="list" allowBlank="1" showInputMessage="1" showErrorMessage="1" xr:uid="{B0536390-EACA-4292-B77E-FE399F592D80}">
          <x14:formula1>
            <xm:f>'Other payers'!$A$1:$A$8</xm:f>
          </x14:formula1>
          <xm:sqref>S2:S239</xm:sqref>
        </x14:dataValidation>
        <x14:dataValidation type="list" allowBlank="1" showInputMessage="1" showErrorMessage="1" xr:uid="{635954D2-7D14-4280-80D5-94F91F5A20C3}">
          <x14:formula1>
            <xm:f>'Urban-rural'!$A$1:$A$4</xm:f>
          </x14:formula1>
          <xm:sqref>O2:O173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FB3852-3877-48E1-AE40-BC31E1404EF8}">
  <dimension ref="A1:B4"/>
  <sheetViews>
    <sheetView workbookViewId="0">
      <selection activeCell="H33" sqref="H33"/>
    </sheetView>
  </sheetViews>
  <sheetFormatPr defaultRowHeight="15" x14ac:dyDescent="0.25"/>
  <sheetData>
    <row r="1" spans="1:2" x14ac:dyDescent="0.25">
      <c r="A1" t="s">
        <v>66</v>
      </c>
      <c r="B1" t="s">
        <v>1033</v>
      </c>
    </row>
    <row r="2" spans="1:2" x14ac:dyDescent="0.25">
      <c r="A2" t="s">
        <v>98</v>
      </c>
      <c r="B2" t="s">
        <v>1034</v>
      </c>
    </row>
    <row r="3" spans="1:2" x14ac:dyDescent="0.25">
      <c r="A3" t="s">
        <v>1024</v>
      </c>
      <c r="B3" t="s">
        <v>1035</v>
      </c>
    </row>
    <row r="4" spans="1:2" x14ac:dyDescent="0.25">
      <c r="A4" t="s">
        <v>68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FF7738-1E31-4E5C-9AAE-434D1E772250}">
  <dimension ref="A1:A7"/>
  <sheetViews>
    <sheetView workbookViewId="0">
      <selection sqref="A1:A7"/>
    </sheetView>
  </sheetViews>
  <sheetFormatPr defaultRowHeight="15" x14ac:dyDescent="0.25"/>
  <sheetData>
    <row r="1" spans="1:1" x14ac:dyDescent="0.25">
      <c r="A1" t="s">
        <v>119</v>
      </c>
    </row>
    <row r="2" spans="1:1" x14ac:dyDescent="0.25">
      <c r="A2" t="s">
        <v>199</v>
      </c>
    </row>
    <row r="3" spans="1:1" x14ac:dyDescent="0.25">
      <c r="A3" t="s">
        <v>294</v>
      </c>
    </row>
    <row r="4" spans="1:1" x14ac:dyDescent="0.25">
      <c r="A4" t="s">
        <v>1036</v>
      </c>
    </row>
    <row r="5" spans="1:1" x14ac:dyDescent="0.25">
      <c r="A5" t="s">
        <v>414</v>
      </c>
    </row>
    <row r="6" spans="1:1" x14ac:dyDescent="0.25">
      <c r="A6" t="s">
        <v>65</v>
      </c>
    </row>
    <row r="7" spans="1:1" x14ac:dyDescent="0.25">
      <c r="A7" t="s">
        <v>253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3F0DA6-1EB6-476C-B756-F090B6260E15}">
  <dimension ref="A1:A11"/>
  <sheetViews>
    <sheetView workbookViewId="0">
      <selection activeCell="M19" sqref="M19"/>
    </sheetView>
  </sheetViews>
  <sheetFormatPr defaultRowHeight="15" x14ac:dyDescent="0.25"/>
  <sheetData>
    <row r="1" spans="1:1" x14ac:dyDescent="0.25">
      <c r="A1" t="s">
        <v>187</v>
      </c>
    </row>
    <row r="2" spans="1:1" x14ac:dyDescent="0.25">
      <c r="A2" t="s">
        <v>67</v>
      </c>
    </row>
    <row r="3" spans="1:1" x14ac:dyDescent="0.25">
      <c r="A3" t="s">
        <v>137</v>
      </c>
    </row>
    <row r="4" spans="1:1" x14ac:dyDescent="0.25">
      <c r="A4" t="s">
        <v>171</v>
      </c>
    </row>
    <row r="5" spans="1:1" x14ac:dyDescent="0.25">
      <c r="A5" t="s">
        <v>324</v>
      </c>
    </row>
    <row r="6" spans="1:1" x14ac:dyDescent="0.25">
      <c r="A6" t="s">
        <v>162</v>
      </c>
    </row>
    <row r="7" spans="1:1" x14ac:dyDescent="0.25">
      <c r="A7" t="s">
        <v>385</v>
      </c>
    </row>
    <row r="8" spans="1:1" x14ac:dyDescent="0.25">
      <c r="A8" t="s">
        <v>87</v>
      </c>
    </row>
    <row r="9" spans="1:1" x14ac:dyDescent="0.25">
      <c r="A9" t="s">
        <v>1037</v>
      </c>
    </row>
    <row r="10" spans="1:1" x14ac:dyDescent="0.25">
      <c r="A10" t="s">
        <v>1038</v>
      </c>
    </row>
    <row r="11" spans="1:1" x14ac:dyDescent="0.25">
      <c r="A11" t="s">
        <v>68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D34047-BD90-4A63-9805-805BA93BE03D}">
  <dimension ref="A1:A7"/>
  <sheetViews>
    <sheetView workbookViewId="0">
      <selection activeCell="G25" sqref="G25"/>
    </sheetView>
  </sheetViews>
  <sheetFormatPr defaultRowHeight="15" x14ac:dyDescent="0.25"/>
  <sheetData>
    <row r="1" spans="1:1" x14ac:dyDescent="0.25">
      <c r="A1" t="s">
        <v>1039</v>
      </c>
    </row>
    <row r="2" spans="1:1" x14ac:dyDescent="0.25">
      <c r="A2" t="s">
        <v>370</v>
      </c>
    </row>
    <row r="3" spans="1:1" x14ac:dyDescent="0.25">
      <c r="A3" t="s">
        <v>318</v>
      </c>
    </row>
    <row r="4" spans="1:1" x14ac:dyDescent="0.25">
      <c r="A4" t="s">
        <v>962</v>
      </c>
    </row>
    <row r="5" spans="1:1" x14ac:dyDescent="0.25">
      <c r="A5" t="s">
        <v>99</v>
      </c>
    </row>
    <row r="6" spans="1:1" x14ac:dyDescent="0.25">
      <c r="A6" t="s">
        <v>155</v>
      </c>
    </row>
    <row r="7" spans="1:1" x14ac:dyDescent="0.25">
      <c r="A7" t="s">
        <v>68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1456D7-FE32-4B7F-85A0-4C5FD5371D5E}">
  <dimension ref="A1:A8"/>
  <sheetViews>
    <sheetView workbookViewId="0">
      <selection sqref="A1:A7"/>
    </sheetView>
  </sheetViews>
  <sheetFormatPr defaultRowHeight="15" x14ac:dyDescent="0.25"/>
  <sheetData>
    <row r="1" spans="1:1" x14ac:dyDescent="0.25">
      <c r="A1" t="s">
        <v>100</v>
      </c>
    </row>
    <row r="2" spans="1:1" x14ac:dyDescent="0.25">
      <c r="A2" t="s">
        <v>69</v>
      </c>
    </row>
    <row r="3" spans="1:1" x14ac:dyDescent="0.25">
      <c r="A3" t="s">
        <v>236</v>
      </c>
    </row>
    <row r="4" spans="1:1" x14ac:dyDescent="0.25">
      <c r="A4" t="s">
        <v>584</v>
      </c>
    </row>
    <row r="5" spans="1:1" x14ac:dyDescent="0.25">
      <c r="A5" t="s">
        <v>563</v>
      </c>
    </row>
    <row r="6" spans="1:1" x14ac:dyDescent="0.25">
      <c r="A6" t="s">
        <v>375</v>
      </c>
    </row>
    <row r="7" spans="1:1" x14ac:dyDescent="0.25">
      <c r="A7" t="s">
        <v>554</v>
      </c>
    </row>
    <row r="8" spans="1:1" x14ac:dyDescent="0.25">
      <c r="A8" t="s">
        <v>88</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38C6C4-40F3-48B5-A611-66AD44390A92}">
  <dimension ref="A1:A4"/>
  <sheetViews>
    <sheetView workbookViewId="0">
      <selection activeCell="A3" sqref="A3"/>
    </sheetView>
  </sheetViews>
  <sheetFormatPr defaultRowHeight="15" x14ac:dyDescent="0.25"/>
  <cols>
    <col min="1" max="1" width="19.5703125" bestFit="1" customWidth="1"/>
  </cols>
  <sheetData>
    <row r="1" spans="1:1" x14ac:dyDescent="0.25">
      <c r="A1" s="5" t="s">
        <v>89</v>
      </c>
    </row>
    <row r="2" spans="1:1" x14ac:dyDescent="0.25">
      <c r="A2" s="5" t="s">
        <v>73</v>
      </c>
    </row>
    <row r="3" spans="1:1" x14ac:dyDescent="0.25">
      <c r="A3" s="5" t="s">
        <v>85</v>
      </c>
    </row>
    <row r="4" spans="1:1" x14ac:dyDescent="0.25">
      <c r="A4" s="6" t="s">
        <v>88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66ABA1-4AAC-4D5F-8034-865459ECDDC2}">
  <dimension ref="A1:A10"/>
  <sheetViews>
    <sheetView workbookViewId="0">
      <selection activeCell="A11" sqref="A11"/>
    </sheetView>
  </sheetViews>
  <sheetFormatPr defaultRowHeight="15" x14ac:dyDescent="0.25"/>
  <cols>
    <col min="1" max="1" width="26" customWidth="1"/>
  </cols>
  <sheetData>
    <row r="1" spans="1:1" x14ac:dyDescent="0.25">
      <c r="A1" s="7" t="s">
        <v>75</v>
      </c>
    </row>
    <row r="2" spans="1:1" x14ac:dyDescent="0.25">
      <c r="A2" s="7" t="s">
        <v>91</v>
      </c>
    </row>
    <row r="3" spans="1:1" x14ac:dyDescent="0.25">
      <c r="A3" s="7" t="s">
        <v>256</v>
      </c>
    </row>
    <row r="4" spans="1:1" x14ac:dyDescent="0.25">
      <c r="A4" s="7" t="s">
        <v>112</v>
      </c>
    </row>
    <row r="5" spans="1:1" x14ac:dyDescent="0.25">
      <c r="A5" s="7" t="s">
        <v>123</v>
      </c>
    </row>
    <row r="6" spans="1:1" x14ac:dyDescent="0.25">
      <c r="A6" s="7" t="s">
        <v>608</v>
      </c>
    </row>
    <row r="7" spans="1:1" x14ac:dyDescent="0.25">
      <c r="A7" s="7" t="s">
        <v>132</v>
      </c>
    </row>
    <row r="8" spans="1:1" x14ac:dyDescent="0.25">
      <c r="A8" s="7" t="s">
        <v>1040</v>
      </c>
    </row>
    <row r="9" spans="1:1" x14ac:dyDescent="0.25">
      <c r="A9" s="7" t="s">
        <v>88</v>
      </c>
    </row>
    <row r="10" spans="1:1" x14ac:dyDescent="0.25">
      <c r="A10" s="7" t="s">
        <v>79</v>
      </c>
    </row>
  </sheetData>
  <pageMargins left="0.7" right="0.7" top="0.75" bottom="0.75" header="0.3" footer="0.3"/>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E6A138BFE5B2847BD9EE7EEF724C5D8" ma:contentTypeVersion="6" ma:contentTypeDescription="Create a new document." ma:contentTypeScope="" ma:versionID="4c4d326705552d18cba39b0ea0ff1997">
  <xsd:schema xmlns:xsd="http://www.w3.org/2001/XMLSchema" xmlns:xs="http://www.w3.org/2001/XMLSchema" xmlns:p="http://schemas.microsoft.com/office/2006/metadata/properties" xmlns:ns2="87d3f174-215c-4423-8fef-388996f879df" xmlns:ns3="ea3b27a4-5636-4c24-b4ea-d782eda696cc" targetNamespace="http://schemas.microsoft.com/office/2006/metadata/properties" ma:root="true" ma:fieldsID="c057ce37b1a7e7efdf3a947fde537bf6" ns2:_="" ns3:_="">
    <xsd:import namespace="87d3f174-215c-4423-8fef-388996f879df"/>
    <xsd:import namespace="ea3b27a4-5636-4c24-b4ea-d782eda696cc"/>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7d3f174-215c-4423-8fef-388996f879d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a3b27a4-5636-4c24-b4ea-d782eda696cc"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0ADFC62-453E-4BC2-A496-ACBFB38CA9CA}">
  <ds:schemaRefs>
    <ds:schemaRef ds:uri="http://schemas.microsoft.com/sharepoint/v3/contenttype/forms"/>
  </ds:schemaRefs>
</ds:datastoreItem>
</file>

<file path=customXml/itemProps2.xml><?xml version="1.0" encoding="utf-8"?>
<ds:datastoreItem xmlns:ds="http://schemas.openxmlformats.org/officeDocument/2006/customXml" ds:itemID="{DCB354DD-E97E-47D6-B62D-88A035A1F671}">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6D9338E4-F44D-41B3-ADDD-A35C7E8E2BB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7d3f174-215c-4423-8fef-388996f879df"/>
    <ds:schemaRef ds:uri="ea3b27a4-5636-4c24-b4ea-d782eda696c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15</vt:i4>
      </vt:variant>
    </vt:vector>
  </HeadingPairs>
  <TitlesOfParts>
    <vt:vector size="15" baseType="lpstr">
      <vt:lpstr>Read me</vt:lpstr>
      <vt:lpstr>Model Data</vt:lpstr>
      <vt:lpstr>HCIA</vt:lpstr>
      <vt:lpstr>Category list</vt:lpstr>
      <vt:lpstr>HCIA Category List</vt:lpstr>
      <vt:lpstr>HCIA2 Category List</vt:lpstr>
      <vt:lpstr>Status list</vt:lpstr>
      <vt:lpstr>Urban-rural</vt:lpstr>
      <vt:lpstr>Regional</vt:lpstr>
      <vt:lpstr>Scope of services</vt:lpstr>
      <vt:lpstr>Other payers</vt:lpstr>
      <vt:lpstr>AAPM</vt:lpstr>
      <vt:lpstr>Latest evaluation list</vt:lpstr>
      <vt:lpstr>Eval costs</vt:lpstr>
      <vt:lpstr>Eval quality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Jennifer Podulka</dc:creator>
  <cp:keywords/>
  <dc:description/>
  <cp:lastModifiedBy>Jennifer Podulka</cp:lastModifiedBy>
  <cp:revision/>
  <dcterms:created xsi:type="dcterms:W3CDTF">2020-09-24T17:44:25Z</dcterms:created>
  <dcterms:modified xsi:type="dcterms:W3CDTF">2021-06-08T18:47:18Z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0x010100BE6A138BFE5B2847BD9EE7EEF724C5D8</vt:lpwstr>
  </property>
</Properties>
</file>